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'Sheet1'!$A$1:$E$695</definedName>
    <definedName name="_xlnm.Print_Titles" localSheetId="0">'Sheet1'!$3:$7</definedName>
    <definedName name="PrintArea" localSheetId="0">'Sheet1'!$A$3:$B$695</definedName>
    <definedName name="Report" localSheetId="0">'Sheet1'!$A$3:$B$695</definedName>
    <definedName name="rptacctgroupend" localSheetId="0">"ZZZZZZZZZZZZ"</definedName>
    <definedName name="rptacctgroupselect" localSheetId="0">0</definedName>
    <definedName name="rptacctgroupstart" localSheetId="0">" "</definedName>
    <definedName name="rptacctidend" localSheetId="0">" "</definedName>
    <definedName name="rptacctidstart" localSheetId="0">" "</definedName>
    <definedName name="rptcurr1" localSheetId="0">" "</definedName>
    <definedName name="rptcurr10" localSheetId="0">" "</definedName>
    <definedName name="rptcurr2" localSheetId="0">"    "</definedName>
    <definedName name="rptcurr3" localSheetId="0">"      "</definedName>
    <definedName name="rptcurr4" localSheetId="0">" "</definedName>
    <definedName name="rptcurr5" localSheetId="0">" "</definedName>
    <definedName name="rptcurr6" localSheetId="0">" "</definedName>
    <definedName name="rptcurr7" localSheetId="0">" "</definedName>
    <definedName name="rptcurr8" localSheetId="0">" "</definedName>
    <definedName name="rptcurr9" localSheetId="0">" "</definedName>
    <definedName name="rptorderby" localSheetId="0">2</definedName>
    <definedName name="rptorderbysegid" localSheetId="0">3</definedName>
    <definedName name="rptperiod" localSheetId="0">8</definedName>
    <definedName name="rptprovtype" localSheetId="0">1</definedName>
    <definedName name="rptrange1" localSheetId="0">"ACCTGRPCOD &lt;= ""ZZZZZZZZZZZZ"""</definedName>
    <definedName name="rptsegend1" localSheetId="0">"Z"</definedName>
    <definedName name="rptsegend10" localSheetId="0">" "</definedName>
    <definedName name="rptsegend2" localSheetId="0">"ZZZZ"</definedName>
    <definedName name="rptsegend3" localSheetId="0">"ZZZZZZ"</definedName>
    <definedName name="rptsegend4" localSheetId="0">" "</definedName>
    <definedName name="rptsegend5" localSheetId="0">" "</definedName>
    <definedName name="rptsegend6" localSheetId="0">" "</definedName>
    <definedName name="rptsegend7" localSheetId="0">" "</definedName>
    <definedName name="rptsegend8" localSheetId="0">" "</definedName>
    <definedName name="rptsegend9" localSheetId="0">" "</definedName>
    <definedName name="rptsegoption1" localSheetId="0">1</definedName>
    <definedName name="rptsegoption10" localSheetId="0">0</definedName>
    <definedName name="rptsegoption2" localSheetId="0">1</definedName>
    <definedName name="rptsegoption3" localSheetId="0">1</definedName>
    <definedName name="rptsegoption4" localSheetId="0">0</definedName>
    <definedName name="rptsegoption5" localSheetId="0">0</definedName>
    <definedName name="rptsegoption6" localSheetId="0">0</definedName>
    <definedName name="rptsegoption7" localSheetId="0">0</definedName>
    <definedName name="rptsegoption8" localSheetId="0">0</definedName>
    <definedName name="rptsegoption9" localSheetId="0">0</definedName>
    <definedName name="rptsegstart1" localSheetId="0">" "</definedName>
    <definedName name="rptsegstart10" localSheetId="0">" "</definedName>
    <definedName name="rptsegstart2" localSheetId="0">"    "</definedName>
    <definedName name="rptsegstart3" localSheetId="0">" "</definedName>
    <definedName name="rptsegstart4" localSheetId="0">" "</definedName>
    <definedName name="rptsegstart5" localSheetId="0">" "</definedName>
    <definedName name="rptsegstart6" localSheetId="0">" "</definedName>
    <definedName name="rptsegstart7" localSheetId="0">" "</definedName>
    <definedName name="rptsegstart8" localSheetId="0">" "</definedName>
    <definedName name="rptsegstart9" localSheetId="0">" "</definedName>
    <definedName name="rptsortgroupend" localSheetId="0">"ZZZZZZZZZZZZ"</definedName>
    <definedName name="rptsortgroupstart" localSheetId="0">" "</definedName>
    <definedName name="rptyear" localSheetId="0">2022</definedName>
    <definedName name="Spec" localSheetId="0">'Sheet1'!#REF!</definedName>
  </definedNames>
  <calcPr fullCalcOnLoad="1"/>
</workbook>
</file>

<file path=xl/sharedStrings.xml><?xml version="1.0" encoding="utf-8"?>
<sst xmlns="http://schemas.openxmlformats.org/spreadsheetml/2006/main" count="1219" uniqueCount="1119">
  <si>
    <t xml:space="preserve"> </t>
  </si>
  <si>
    <t xml:space="preserve">  </t>
  </si>
  <si>
    <t>Board of Commissioners</t>
  </si>
  <si>
    <t>Tax Collector:</t>
  </si>
  <si>
    <t>Total Tax Collector</t>
  </si>
  <si>
    <t>Farm Service Agency</t>
  </si>
  <si>
    <t>Dodge County Commissioners</t>
  </si>
  <si>
    <t>Taxes:</t>
  </si>
  <si>
    <t xml:space="preserve">   PROPERTY TAX CY</t>
  </si>
  <si>
    <t>311100</t>
  </si>
  <si>
    <t xml:space="preserve">   TIMBER TAX</t>
  </si>
  <si>
    <t>311120</t>
  </si>
  <si>
    <t xml:space="preserve">   PROPERTY TAX PY</t>
  </si>
  <si>
    <t>311200</t>
  </si>
  <si>
    <t xml:space="preserve">   FLPA GRANT DOR</t>
  </si>
  <si>
    <t>311215</t>
  </si>
  <si>
    <t xml:space="preserve">   MOBILE HOMES DECALS CY</t>
  </si>
  <si>
    <t>311220</t>
  </si>
  <si>
    <t xml:space="preserve">   VEHICLES CY</t>
  </si>
  <si>
    <t>311310</t>
  </si>
  <si>
    <t xml:space="preserve">   MOTOR VEHICLE TITLE AD VALOREM TAX TAVT</t>
  </si>
  <si>
    <t>311315</t>
  </si>
  <si>
    <t xml:space="preserve">   MOBILE HOME TAX</t>
  </si>
  <si>
    <t>311320</t>
  </si>
  <si>
    <t xml:space="preserve">   RAILROAD EQUIPMENT CAR TAX</t>
  </si>
  <si>
    <t>311350</t>
  </si>
  <si>
    <t xml:space="preserve">   MOBILE HOMES PY</t>
  </si>
  <si>
    <t>311420</t>
  </si>
  <si>
    <t xml:space="preserve">   CABLE FRANCHISE TAXES</t>
  </si>
  <si>
    <t>311750</t>
  </si>
  <si>
    <t xml:space="preserve">   LOCAL OPTION SALES TAX* LOST</t>
  </si>
  <si>
    <t>313100</t>
  </si>
  <si>
    <t xml:space="preserve">   EXCISE TAX</t>
  </si>
  <si>
    <t>314400</t>
  </si>
  <si>
    <t xml:space="preserve">   LIFE INSURANCE PREMIUM TAX</t>
  </si>
  <si>
    <t>316200</t>
  </si>
  <si>
    <t xml:space="preserve">   FINANCIAL INSTITUTION TAX</t>
  </si>
  <si>
    <t>316300</t>
  </si>
  <si>
    <t xml:space="preserve">   TAG PENALTIES</t>
  </si>
  <si>
    <t>319120</t>
  </si>
  <si>
    <t xml:space="preserve"> Total Taxes</t>
  </si>
  <si>
    <t>Permits and Licenses:</t>
  </si>
  <si>
    <t xml:space="preserve">   BEER LICENSES</t>
  </si>
  <si>
    <t>321110</t>
  </si>
  <si>
    <t xml:space="preserve">   BUSINESS LICENSES</t>
  </si>
  <si>
    <t>321200</t>
  </si>
  <si>
    <t xml:space="preserve">   FEES * BUILDING INSPECTION</t>
  </si>
  <si>
    <t>323120</t>
  </si>
  <si>
    <t xml:space="preserve"> Total Permits and Licenses</t>
  </si>
  <si>
    <t>Intergovernmental:</t>
  </si>
  <si>
    <t xml:space="preserve">   REIMB. * NUTRIT. CTR * SALARIES</t>
  </si>
  <si>
    <t>331020</t>
  </si>
  <si>
    <t xml:space="preserve">   REIMB.* ODTF * SALARIES</t>
  </si>
  <si>
    <t>331045</t>
  </si>
  <si>
    <t xml:space="preserve">   REIMB. EMA * SALARY</t>
  </si>
  <si>
    <t>331050</t>
  </si>
  <si>
    <t xml:space="preserve">   REIMB INTERGOV MISC</t>
  </si>
  <si>
    <t>331051</t>
  </si>
  <si>
    <t xml:space="preserve">   GRANTS* DOT * HIGHWAY PROJECTS</t>
  </si>
  <si>
    <t>331080</t>
  </si>
  <si>
    <t xml:space="preserve">   GRANTS * DISASTER RELIEF</t>
  </si>
  <si>
    <t>331090</t>
  </si>
  <si>
    <t xml:space="preserve">   GRANTS * EMS</t>
  </si>
  <si>
    <t>331100</t>
  </si>
  <si>
    <t xml:space="preserve">   GRANTS * VARIOUS</t>
  </si>
  <si>
    <t>331110</t>
  </si>
  <si>
    <t xml:space="preserve">   GRANTS * ACCG SAFETY</t>
  </si>
  <si>
    <t>331125</t>
  </si>
  <si>
    <t xml:space="preserve">   DODGE COUNTY GRANTS</t>
  </si>
  <si>
    <t>331150</t>
  </si>
  <si>
    <t xml:space="preserve">   WORKERS/COMP REFUND DIVIDENDS</t>
  </si>
  <si>
    <t>331180</t>
  </si>
  <si>
    <t xml:space="preserve">   TRANSIT DOT REIMBURSEMENTS</t>
  </si>
  <si>
    <t>331220</t>
  </si>
  <si>
    <t xml:space="preserve">   GRANT * TIRE ABATEMENT</t>
  </si>
  <si>
    <t>331300</t>
  </si>
  <si>
    <t xml:space="preserve">   MISCELLANEOUS</t>
  </si>
  <si>
    <t>331310</t>
  </si>
  <si>
    <t xml:space="preserve">   SURPLUS SALE OF VEHICLES</t>
  </si>
  <si>
    <t>331990</t>
  </si>
  <si>
    <t xml:space="preserve"> Total Intergovernmental</t>
  </si>
  <si>
    <t>Charges for Services:</t>
  </si>
  <si>
    <t xml:space="preserve">   FEES QUALIFYING</t>
  </si>
  <si>
    <t>341910</t>
  </si>
  <si>
    <t xml:space="preserve">   MAPS COPIES</t>
  </si>
  <si>
    <t>341930</t>
  </si>
  <si>
    <t xml:space="preserve">   REIMBURSEMENT FROM INSURANCE</t>
  </si>
  <si>
    <t>341940</t>
  </si>
  <si>
    <t xml:space="preserve">   EMS*RECEIPTS*MEDICAL EXPENSES</t>
  </si>
  <si>
    <t>341970</t>
  </si>
  <si>
    <t xml:space="preserve">   TRANSIT VAN FARES</t>
  </si>
  <si>
    <t>341980</t>
  </si>
  <si>
    <t xml:space="preserve">   FEES * LANDFILL USE</t>
  </si>
  <si>
    <t>342000</t>
  </si>
  <si>
    <t xml:space="preserve">   FEES * TRASH PICK UP</t>
  </si>
  <si>
    <t>342100</t>
  </si>
  <si>
    <t xml:space="preserve">   REIMB.* UNIFORM RENTAL</t>
  </si>
  <si>
    <t>342200</t>
  </si>
  <si>
    <t xml:space="preserve">   REIMB. FROM VEH. &amp; PROP. INS.</t>
  </si>
  <si>
    <t>342300</t>
  </si>
  <si>
    <t xml:space="preserve">   REIMB. FOR HEALTH INS.</t>
  </si>
  <si>
    <t>342400</t>
  </si>
  <si>
    <t xml:space="preserve">   FEES * PUBLIC SAFETY TRAINING</t>
  </si>
  <si>
    <t>342450</t>
  </si>
  <si>
    <t xml:space="preserve">   CASH SALES PIPE CRUSH RUN ETC</t>
  </si>
  <si>
    <t>342500</t>
  </si>
  <si>
    <t xml:space="preserve"> Total Charges for Services</t>
  </si>
  <si>
    <t>Judicial Fees and Charges:</t>
  </si>
  <si>
    <t xml:space="preserve">   CLERK OF SUPERIOR COURT</t>
  </si>
  <si>
    <t>351100</t>
  </si>
  <si>
    <t xml:space="preserve">   SHERIFF* OTHER INCOME</t>
  </si>
  <si>
    <t>351300</t>
  </si>
  <si>
    <t xml:space="preserve">   PJ*PRORATED FINES</t>
  </si>
  <si>
    <t>351800</t>
  </si>
  <si>
    <t xml:space="preserve">   FINES * PROBATE TRAFFIC</t>
  </si>
  <si>
    <t>351900</t>
  </si>
  <si>
    <t xml:space="preserve">   FEES OTHER * PROBATE JUDGE</t>
  </si>
  <si>
    <t>352000</t>
  </si>
  <si>
    <t xml:space="preserve">   FEES * MAGISTRATE</t>
  </si>
  <si>
    <t>352200</t>
  </si>
  <si>
    <t xml:space="preserve"> Total Judicial Fees and Charges</t>
  </si>
  <si>
    <t>Miscellaneous and Investment Income</t>
  </si>
  <si>
    <t xml:space="preserve"> Total Misc. &amp; Investment Income</t>
  </si>
  <si>
    <t>Special Revenue Charges:</t>
  </si>
  <si>
    <t xml:space="preserve">   E 911 SURCHARGE INCOME</t>
  </si>
  <si>
    <t>381500</t>
  </si>
  <si>
    <t xml:space="preserve">   JAIL REVENUE</t>
  </si>
  <si>
    <t>381525</t>
  </si>
  <si>
    <t xml:space="preserve">   DRUG COURT INCOME</t>
  </si>
  <si>
    <t>381550</t>
  </si>
  <si>
    <t xml:space="preserve">   OtherFinSources*IRP&amp;RLF*AdmFee</t>
  </si>
  <si>
    <t>381600</t>
  </si>
  <si>
    <t xml:space="preserve"> Total Special Revenue</t>
  </si>
  <si>
    <t/>
  </si>
  <si>
    <t>Total Revenues by Source</t>
  </si>
  <si>
    <t>GENERAL GOVERNMENT</t>
  </si>
  <si>
    <t xml:space="preserve">   BOC * SALARY COMPENSATION</t>
  </si>
  <si>
    <t>11100511101</t>
  </si>
  <si>
    <t xml:space="preserve">   BOC * HEALTH INS.*BOARD MEMBER</t>
  </si>
  <si>
    <t>11100512100</t>
  </si>
  <si>
    <t xml:space="preserve">   BOC * FICA</t>
  </si>
  <si>
    <t>11100512200</t>
  </si>
  <si>
    <t xml:space="preserve">   BOC * RETIREMENT</t>
  </si>
  <si>
    <t>11100512401</t>
  </si>
  <si>
    <t xml:space="preserve">   BOC * W/COMP</t>
  </si>
  <si>
    <t>11100512700</t>
  </si>
  <si>
    <t xml:space="preserve">   BOC * MEALS</t>
  </si>
  <si>
    <t>11100523502</t>
  </si>
  <si>
    <t xml:space="preserve">   BOC * LODGING &amp; MILEAGE</t>
  </si>
  <si>
    <t>11100523503</t>
  </si>
  <si>
    <t xml:space="preserve">   BOC * CODIFICATION BOARD DECISIONS</t>
  </si>
  <si>
    <t>11100523550</t>
  </si>
  <si>
    <t xml:space="preserve">   BOC * COURSES*REG.FEES</t>
  </si>
  <si>
    <t>11100523701</t>
  </si>
  <si>
    <t xml:space="preserve">   BOC * OTHER EXPENSES</t>
  </si>
  <si>
    <t>11100523900</t>
  </si>
  <si>
    <t xml:space="preserve"> Total BOC Expense</t>
  </si>
  <si>
    <t>Office of Co. Commissioner</t>
  </si>
  <si>
    <t xml:space="preserve">   CC * CO. MANAGER SALARY</t>
  </si>
  <si>
    <t>11200511105</t>
  </si>
  <si>
    <t xml:space="preserve">   CC * SALARY CLERKS</t>
  </si>
  <si>
    <t>11200511115</t>
  </si>
  <si>
    <t xml:space="preserve">   CC * EMP.GROUP HEALTH INS*</t>
  </si>
  <si>
    <t>11200512100</t>
  </si>
  <si>
    <t xml:space="preserve">   CC * FICA</t>
  </si>
  <si>
    <t>11200512200</t>
  </si>
  <si>
    <t>11200512401</t>
  </si>
  <si>
    <t xml:space="preserve">   CC * STATE UNEMPLOYMENT</t>
  </si>
  <si>
    <t>11200512600</t>
  </si>
  <si>
    <t xml:space="preserve">   CC * WORKER'S COMP</t>
  </si>
  <si>
    <t>11200512700</t>
  </si>
  <si>
    <t xml:space="preserve">   CC * TECHNICAL* WEB SITE RENEWAL CONTRACT</t>
  </si>
  <si>
    <t>11200521300</t>
  </si>
  <si>
    <t xml:space="preserve">   CC * OFF. EQUIP *R&amp;M</t>
  </si>
  <si>
    <t>11200522203</t>
  </si>
  <si>
    <t xml:space="preserve">   CC * COMP.SERV*PROG*SOFTWARE</t>
  </si>
  <si>
    <t>11200523050</t>
  </si>
  <si>
    <t xml:space="preserve">   CC * TELEPHONE</t>
  </si>
  <si>
    <t>11200523201</t>
  </si>
  <si>
    <t xml:space="preserve">   CC * CELL</t>
  </si>
  <si>
    <t>11200523202</t>
  </si>
  <si>
    <t xml:space="preserve">   CC * POSTAGE &amp; BOX RENT</t>
  </si>
  <si>
    <t>11200523205</t>
  </si>
  <si>
    <t xml:space="preserve">   CC * PUBLIC NOTICES</t>
  </si>
  <si>
    <t>11200523305</t>
  </si>
  <si>
    <t xml:space="preserve">   CC * TRAVEL &amp; MILEAGE</t>
  </si>
  <si>
    <t>11200523500</t>
  </si>
  <si>
    <t xml:space="preserve">   CC * DUES</t>
  </si>
  <si>
    <t>11200523610</t>
  </si>
  <si>
    <t xml:space="preserve">   CC * CONVENTIONS &amp; MEETINGS</t>
  </si>
  <si>
    <t>11200523710</t>
  </si>
  <si>
    <t xml:space="preserve">   CC * OTHER EXPENSES</t>
  </si>
  <si>
    <t>11200523900</t>
  </si>
  <si>
    <t xml:space="preserve">   CC * CLEANING &amp;SUPPLIES</t>
  </si>
  <si>
    <t>11200531115</t>
  </si>
  <si>
    <t xml:space="preserve">   CC * OFF.SUP COPIER CKS PO's W 2s</t>
  </si>
  <si>
    <t>11200531130</t>
  </si>
  <si>
    <t xml:space="preserve">   CC * FUEL VEHICLE</t>
  </si>
  <si>
    <t>11200531270</t>
  </si>
  <si>
    <t xml:space="preserve">   CC * VEHICLE TAG TAX ETC.</t>
  </si>
  <si>
    <t>11200531725</t>
  </si>
  <si>
    <t xml:space="preserve">   CC * TIRES OIL GREASE ETC.</t>
  </si>
  <si>
    <t>11200531750</t>
  </si>
  <si>
    <t xml:space="preserve">   CC * PURCHASES OFFICE EQUIP.</t>
  </si>
  <si>
    <t>11200542350</t>
  </si>
  <si>
    <t xml:space="preserve">   CC * SAFETY GRANT EXPENDITURE</t>
  </si>
  <si>
    <t>11200550000</t>
  </si>
  <si>
    <t xml:space="preserve"> Total Commissioner's Office</t>
  </si>
  <si>
    <t>CTHSE EXP. (PUBLIC BLDGS. &amp; ANNEX)</t>
  </si>
  <si>
    <t xml:space="preserve">   CH * SAL * CUSTOD&amp;YARDMAN</t>
  </si>
  <si>
    <t>11300511100</t>
  </si>
  <si>
    <t xml:space="preserve">   CH * CUSTODIAN HEALTH INS GRP</t>
  </si>
  <si>
    <t>11300512100</t>
  </si>
  <si>
    <t xml:space="preserve">   CH * CUSTOD P/R TAXES*SS/MED</t>
  </si>
  <si>
    <t>11300512200</t>
  </si>
  <si>
    <t xml:space="preserve">   CH * CUSTODIAN RETIREMENT</t>
  </si>
  <si>
    <t>11300512401</t>
  </si>
  <si>
    <t xml:space="preserve">   CH * W/COMP * CUSTODIAN</t>
  </si>
  <si>
    <t>11300512700</t>
  </si>
  <si>
    <t xml:space="preserve">   CH * ANNUAL AUDIT COUNTY EXP.</t>
  </si>
  <si>
    <t>11300521205</t>
  </si>
  <si>
    <t xml:space="preserve">   CH * ACCOUNTING FEES COUNTY</t>
  </si>
  <si>
    <t>11300521220</t>
  </si>
  <si>
    <t xml:space="preserve">   CH * ATTORNEY * RETAINER FEE</t>
  </si>
  <si>
    <t>11300521223</t>
  </si>
  <si>
    <t xml:space="preserve">   CH * LEGAL FEES* CO. &amp; OFFICIALS</t>
  </si>
  <si>
    <t>11300521225</t>
  </si>
  <si>
    <t xml:space="preserve">   CH * LITIGATION SETTLEMENT*COUNTY</t>
  </si>
  <si>
    <t>11300521230</t>
  </si>
  <si>
    <t xml:space="preserve">   CH * GROUNDS MAINT * CONTRACT</t>
  </si>
  <si>
    <t>11300522150</t>
  </si>
  <si>
    <t xml:space="preserve">   CH * CTHSE &amp; BLDGS * R&amp; M.</t>
  </si>
  <si>
    <t>11300522200</t>
  </si>
  <si>
    <t xml:space="preserve">   CH * CTHSE VEH/INS/FUEL/REPAIRS</t>
  </si>
  <si>
    <t>11300522202</t>
  </si>
  <si>
    <t xml:space="preserve">   CH * CTHSE EQUIP. R&amp;M</t>
  </si>
  <si>
    <t>11300522203</t>
  </si>
  <si>
    <t xml:space="preserve">   CH * RENT/POSTAGE METER * COUNTY</t>
  </si>
  <si>
    <t>11300522320</t>
  </si>
  <si>
    <t xml:space="preserve">   CH * PROPERTY INSURANCE * COUNTY</t>
  </si>
  <si>
    <t>11300523125</t>
  </si>
  <si>
    <t xml:space="preserve">   CH * CTHSE LIAB.INS *</t>
  </si>
  <si>
    <t>11300523130</t>
  </si>
  <si>
    <t xml:space="preserve">   CH * COUNTY ELECTED OFFICIAL LIABILITY</t>
  </si>
  <si>
    <t>11300523150</t>
  </si>
  <si>
    <t xml:space="preserve">   CH * PEST CONTROL</t>
  </si>
  <si>
    <t>11300523857</t>
  </si>
  <si>
    <t xml:space="preserve">   CH * OTHER EXPENSE</t>
  </si>
  <si>
    <t>11300523900</t>
  </si>
  <si>
    <t xml:space="preserve">   CH * CLEANING SUPPLIES</t>
  </si>
  <si>
    <t>11300531115</t>
  </si>
  <si>
    <t xml:space="preserve">   CH * COUNTY WATER @ ANNEX BLDG.</t>
  </si>
  <si>
    <t>11300531210</t>
  </si>
  <si>
    <t xml:space="preserve">   CH * UTIL.* CTHSE EXP.</t>
  </si>
  <si>
    <t>11300531230</t>
  </si>
  <si>
    <t xml:space="preserve">   CH * UTIL. * STR LGHT</t>
  </si>
  <si>
    <t>11300531240</t>
  </si>
  <si>
    <t xml:space="preserve">   CH * CTHSE * FUEL VEHICLE</t>
  </si>
  <si>
    <t>11300531270</t>
  </si>
  <si>
    <t xml:space="preserve">   CH * TIRES OIL GREASE ETC</t>
  </si>
  <si>
    <t>11300531750</t>
  </si>
  <si>
    <t xml:space="preserve"> Total Courthouse Expense</t>
  </si>
  <si>
    <t>Group Ins/Ret.* Co. Share</t>
  </si>
  <si>
    <t xml:space="preserve">   INS. * HEALTH INSURANCE GROUP EMPLOYER</t>
  </si>
  <si>
    <t>11400512100</t>
  </si>
  <si>
    <t xml:space="preserve">   INS. * CO. EMP. LIFE INS. PREM. * XS INS.</t>
  </si>
  <si>
    <t>11400512110</t>
  </si>
  <si>
    <t xml:space="preserve">   RET * DEFINED BENEFIT OLD PLAN</t>
  </si>
  <si>
    <t>11400512115</t>
  </si>
  <si>
    <t xml:space="preserve"> Total Ins/Ret</t>
  </si>
  <si>
    <t>Election Expense</t>
  </si>
  <si>
    <t xml:space="preserve">   ELECTIONS PW * WORKERS COMPENSATION INS.</t>
  </si>
  <si>
    <t>11500512700</t>
  </si>
  <si>
    <t xml:space="preserve">   ELECTIONS EXP. * POSTAGE</t>
  </si>
  <si>
    <t>11500523205</t>
  </si>
  <si>
    <t xml:space="preserve">   ELECTIONS EXPENSE*</t>
  </si>
  <si>
    <t>11500531700</t>
  </si>
  <si>
    <t xml:space="preserve"> Total Elect. Exp.</t>
  </si>
  <si>
    <t>Registrar</t>
  </si>
  <si>
    <t xml:space="preserve">   REG * SALARY</t>
  </si>
  <si>
    <t>11600511120</t>
  </si>
  <si>
    <t xml:space="preserve">   REG * HEALTH INSURANCE</t>
  </si>
  <si>
    <t>11600512100</t>
  </si>
  <si>
    <t xml:space="preserve">   REG * FICA</t>
  </si>
  <si>
    <t>11600512200</t>
  </si>
  <si>
    <t xml:space="preserve">   REG RETIREMENT</t>
  </si>
  <si>
    <t>11600512401</t>
  </si>
  <si>
    <t xml:space="preserve">   REG * ST. UNEMPLOYMENT</t>
  </si>
  <si>
    <t>11600512600</t>
  </si>
  <si>
    <t xml:space="preserve">   REG * WORKERS COMP</t>
  </si>
  <si>
    <t>11600512700</t>
  </si>
  <si>
    <t xml:space="preserve">   REG * TELEPHONE &amp; FAX</t>
  </si>
  <si>
    <t>11600523201</t>
  </si>
  <si>
    <t xml:space="preserve">   REG. * POSTAGE</t>
  </si>
  <si>
    <t>11600523205</t>
  </si>
  <si>
    <t xml:space="preserve">   REG * MEALS REIMB.</t>
  </si>
  <si>
    <t>11600523502</t>
  </si>
  <si>
    <t xml:space="preserve">   REG * TRAVEL REGISTRATION FEES</t>
  </si>
  <si>
    <t>11600523702</t>
  </si>
  <si>
    <t xml:space="preserve">   REG * COPIER COMPUTER EXP</t>
  </si>
  <si>
    <t>11600523900</t>
  </si>
  <si>
    <t xml:space="preserve">   REG * OFFICE SUPPLIES</t>
  </si>
  <si>
    <t>11600531130</t>
  </si>
  <si>
    <t xml:space="preserve">   BOR * REGISTRAR BOARD MEETINGS</t>
  </si>
  <si>
    <t>11650523750</t>
  </si>
  <si>
    <t xml:space="preserve"> Total Registrar</t>
  </si>
  <si>
    <t>Office of Tax Commissioner</t>
  </si>
  <si>
    <t xml:space="preserve">   TX COMM * SALARY</t>
  </si>
  <si>
    <t>11700511101</t>
  </si>
  <si>
    <t xml:space="preserve">   TX COMM * SALARY ASSISTANTS</t>
  </si>
  <si>
    <t>11700511110</t>
  </si>
  <si>
    <t xml:space="preserve">   TX COMM * HEALTH INS</t>
  </si>
  <si>
    <t>11700512100</t>
  </si>
  <si>
    <t xml:space="preserve">   TX COMM * PAYROLL TAXES FICA</t>
  </si>
  <si>
    <t>11700512200</t>
  </si>
  <si>
    <t xml:space="preserve">   TX COMM * RETIREMENT COUNTY *</t>
  </si>
  <si>
    <t>11700512401</t>
  </si>
  <si>
    <t xml:space="preserve">   TX COMM * STATE UNEMPLOYMENT</t>
  </si>
  <si>
    <t>11700512600</t>
  </si>
  <si>
    <t xml:space="preserve">   TX COMM * WORKERS COMP. INS.</t>
  </si>
  <si>
    <t>11700512700</t>
  </si>
  <si>
    <t xml:space="preserve">   TX COMM * OFFICE MAINTENANCE</t>
  </si>
  <si>
    <t>11700522250</t>
  </si>
  <si>
    <t xml:space="preserve">   TX COMM * R&amp;M &amp; SUPPORT</t>
  </si>
  <si>
    <t>11700523050</t>
  </si>
  <si>
    <t xml:space="preserve">   TX COMM * TELEPHONE</t>
  </si>
  <si>
    <t>11700523201</t>
  </si>
  <si>
    <t xml:space="preserve">   TX COMM * POSTAGE &amp; BOX RENT</t>
  </si>
  <si>
    <t>11700523205</t>
  </si>
  <si>
    <t xml:space="preserve">   TX COMM * PUBLIC NOTICES</t>
  </si>
  <si>
    <t>11700523305</t>
  </si>
  <si>
    <t xml:space="preserve">   TX COMM * DUES</t>
  </si>
  <si>
    <t>11700523610</t>
  </si>
  <si>
    <t xml:space="preserve">   TX COMM * SEMINARS &amp; MEETINGS</t>
  </si>
  <si>
    <t>11700523705</t>
  </si>
  <si>
    <t xml:space="preserve">   TX COMM * DIGEST EXPENSE E</t>
  </si>
  <si>
    <t>11700523875</t>
  </si>
  <si>
    <t xml:space="preserve">   TX COMM * OFFICE SUPPLIES</t>
  </si>
  <si>
    <t>11700531130</t>
  </si>
  <si>
    <t xml:space="preserve">   TX COMM * SUPPLIES ACCOUNTING</t>
  </si>
  <si>
    <t>11700531700</t>
  </si>
  <si>
    <t xml:space="preserve">   TX COMM * LODGING</t>
  </si>
  <si>
    <t>11700533503</t>
  </si>
  <si>
    <t xml:space="preserve"> Total Tax Commissioner</t>
  </si>
  <si>
    <t>Tax Assessor and Appraiser</t>
  </si>
  <si>
    <t xml:space="preserve">   TX ASSR * SALARY CHIEF ASSESSOR</t>
  </si>
  <si>
    <t>11800511100</t>
  </si>
  <si>
    <t xml:space="preserve">   TX ASSR * SALARIES ASST.APP.&amp; ASSESSORS</t>
  </si>
  <si>
    <t>11800511110</t>
  </si>
  <si>
    <t xml:space="preserve">   TX ASSR * HEALTH INSURANCE</t>
  </si>
  <si>
    <t>11800512100</t>
  </si>
  <si>
    <t xml:space="preserve">   TX ASSR * PAYROLL TAXES</t>
  </si>
  <si>
    <t>11800512200</t>
  </si>
  <si>
    <t xml:space="preserve">   TX ASSR * RETIREMENT</t>
  </si>
  <si>
    <t>11800512401</t>
  </si>
  <si>
    <t xml:space="preserve">   TX ASSR * WORKERS COMP.INS</t>
  </si>
  <si>
    <t>11800512700</t>
  </si>
  <si>
    <t xml:space="preserve">   TX ASSR * RE EVALUATION</t>
  </si>
  <si>
    <t>11800521200</t>
  </si>
  <si>
    <t xml:space="preserve">   TX ASSR * AUDIT BUS. PERS. PROP.</t>
  </si>
  <si>
    <t>11800521202</t>
  </si>
  <si>
    <t xml:space="preserve">   TX ASSR * AUTO R&amp;M</t>
  </si>
  <si>
    <t>11800522202</t>
  </si>
  <si>
    <t xml:space="preserve">   TX ASSR * R&amp;M * OFF EQUIP</t>
  </si>
  <si>
    <t>11800522203</t>
  </si>
  <si>
    <t xml:space="preserve">   TX ASSR * COMPUTER SERVICES</t>
  </si>
  <si>
    <t>11800522275</t>
  </si>
  <si>
    <t xml:space="preserve">   TX ASSR * VEHICLE INSURANCE</t>
  </si>
  <si>
    <t>11800523110</t>
  </si>
  <si>
    <t xml:space="preserve">   TX ASSR * TELEPHONE</t>
  </si>
  <si>
    <t>11800523201</t>
  </si>
  <si>
    <t xml:space="preserve">   TX ASSR * POSTAGE &amp; BOX RENT</t>
  </si>
  <si>
    <t>11800523205</t>
  </si>
  <si>
    <t xml:space="preserve">   TX ASSR * PUBLIC NOTICES</t>
  </si>
  <si>
    <t>11800523305</t>
  </si>
  <si>
    <t xml:space="preserve">   TX ASSR * DUES</t>
  </si>
  <si>
    <t>11800523610</t>
  </si>
  <si>
    <t xml:space="preserve">   TX ASSR * MAPPING &amp; MAINT.</t>
  </si>
  <si>
    <t>11800523615</t>
  </si>
  <si>
    <t xml:space="preserve">   TX ASSR * SEMINARS CONVENTIONS &amp; MEETINGS</t>
  </si>
  <si>
    <t>11800523710</t>
  </si>
  <si>
    <t xml:space="preserve">   TX ASSR * OTHER MISC.</t>
  </si>
  <si>
    <t>11800523900</t>
  </si>
  <si>
    <t xml:space="preserve">   TX ASSR * CLEAN SUPPLIES*MAG T.A.&amp;BLG IN</t>
  </si>
  <si>
    <t>11800531115</t>
  </si>
  <si>
    <t xml:space="preserve">   TX ASSR * OFFICE SUPPLIES</t>
  </si>
  <si>
    <t>11800531130</t>
  </si>
  <si>
    <t xml:space="preserve">   BOTA EXPENSES</t>
  </si>
  <si>
    <t>11850523750</t>
  </si>
  <si>
    <t xml:space="preserve"> Total Assessor &amp; Appraiser</t>
  </si>
  <si>
    <t>Equalization Board</t>
  </si>
  <si>
    <t xml:space="preserve">   BOE * EQUALIZATION BOARD- COC</t>
  </si>
  <si>
    <t>11900523750</t>
  </si>
  <si>
    <t xml:space="preserve"> Total Equal. Bd.</t>
  </si>
  <si>
    <t>Total General Government</t>
  </si>
  <si>
    <t>JUDICIARY</t>
  </si>
  <si>
    <t>Superior Court</t>
  </si>
  <si>
    <t xml:space="preserve">   SUP. CRT. * SALARY BAILIFFS</t>
  </si>
  <si>
    <t>22200511165</t>
  </si>
  <si>
    <t xml:space="preserve">   SUP. CRT. * HEALTH INSURANCE ANTHEM BCBS</t>
  </si>
  <si>
    <t>22200512100</t>
  </si>
  <si>
    <t xml:space="preserve">   SUP CRT * FICA</t>
  </si>
  <si>
    <t>22200512200</t>
  </si>
  <si>
    <t xml:space="preserve">   SUP. CRT. WORKERS COMPENSATION</t>
  </si>
  <si>
    <t>22200512700</t>
  </si>
  <si>
    <t xml:space="preserve">   SUP. CRT. * GTA * TECHNICAL SUPPORT</t>
  </si>
  <si>
    <t>22200521300</t>
  </si>
  <si>
    <t xml:space="preserve">   SUP. CRT. * TEL LEASE * PH COURT REPORTER</t>
  </si>
  <si>
    <t>22200522320</t>
  </si>
  <si>
    <t xml:space="preserve">   SUP. CRT. * JURY SCRIPT COURT</t>
  </si>
  <si>
    <t>22200523603</t>
  </si>
  <si>
    <t xml:space="preserve">   SUP. CRT. * WITNESS FEE</t>
  </si>
  <si>
    <t>22200523604</t>
  </si>
  <si>
    <t xml:space="preserve">   SUP. CRT. * OTHER</t>
  </si>
  <si>
    <t>22200523900</t>
  </si>
  <si>
    <t xml:space="preserve">   SUP. CRT. * OFFICE SUPPLIES</t>
  </si>
  <si>
    <t>22200531130</t>
  </si>
  <si>
    <t xml:space="preserve">   SUP. CRT. * SHARE SC JUDGE COST</t>
  </si>
  <si>
    <t>22200572035</t>
  </si>
  <si>
    <t xml:space="preserve">   SUP. CRT. * PUBLIC DEFENDER *</t>
  </si>
  <si>
    <t>22200572040</t>
  </si>
  <si>
    <t xml:space="preserve">   SUP. CRT. * JUVENILE COURT*</t>
  </si>
  <si>
    <t>22200572045</t>
  </si>
  <si>
    <t xml:space="preserve"> Total Superior Court</t>
  </si>
  <si>
    <t>District Attorney</t>
  </si>
  <si>
    <t xml:space="preserve">   SUP. CRT. * D. A. BUDGET SHARE OCONEE CIRCUIT</t>
  </si>
  <si>
    <t>22250572030</t>
  </si>
  <si>
    <t xml:space="preserve"> Total District Attorney</t>
  </si>
  <si>
    <t>Clerk of Superior Court</t>
  </si>
  <si>
    <t xml:space="preserve">   COC * SALARY CLERK</t>
  </si>
  <si>
    <t>22300511101</t>
  </si>
  <si>
    <t xml:space="preserve">   COC * SALARY ASSISTANTS</t>
  </si>
  <si>
    <t>22300511110</t>
  </si>
  <si>
    <t xml:space="preserve">   COC * HEALTH INSURANCE</t>
  </si>
  <si>
    <t>22300512100</t>
  </si>
  <si>
    <t xml:space="preserve">   COC * FICA</t>
  </si>
  <si>
    <t>22300512200</t>
  </si>
  <si>
    <t xml:space="preserve">   COC * RETIREMENT</t>
  </si>
  <si>
    <t>22300512401</t>
  </si>
  <si>
    <t xml:space="preserve">   COC * WORKER'S COMP</t>
  </si>
  <si>
    <t>22300512700</t>
  </si>
  <si>
    <t xml:space="preserve">   COC * WEB HOSTING</t>
  </si>
  <si>
    <t>22300521300</t>
  </si>
  <si>
    <t xml:space="preserve">   COC * COPY MACHINE</t>
  </si>
  <si>
    <t>22300522203</t>
  </si>
  <si>
    <t xml:space="preserve">   COC * R&amp;M * OFF.EQUIP</t>
  </si>
  <si>
    <t>22300522250</t>
  </si>
  <si>
    <t xml:space="preserve">   COC * COMPUTER PROG. SUPPORT*</t>
  </si>
  <si>
    <t>22300522275</t>
  </si>
  <si>
    <t xml:space="preserve">   COC *COMPUTER SUPPORT</t>
  </si>
  <si>
    <t>22300523050</t>
  </si>
  <si>
    <t xml:space="preserve">   COC * TELEPHONE</t>
  </si>
  <si>
    <t>22300523201</t>
  </si>
  <si>
    <t xml:space="preserve">   COC * POSTAGE &amp; BOX RENT</t>
  </si>
  <si>
    <t>22300523205</t>
  </si>
  <si>
    <t xml:space="preserve">   COC * PUBLIC NOTICES</t>
  </si>
  <si>
    <t>22300523305</t>
  </si>
  <si>
    <t xml:space="preserve">   COC * JURY COMMISSION</t>
  </si>
  <si>
    <t>22300523608</t>
  </si>
  <si>
    <t xml:space="preserve">   COC * CONVENTIONS &amp; SEMINARS</t>
  </si>
  <si>
    <t>22300523710</t>
  </si>
  <si>
    <t xml:space="preserve">   COC * DOCUMENTS PRESERVATION</t>
  </si>
  <si>
    <t>22300523900</t>
  </si>
  <si>
    <t xml:space="preserve">   COC * OFFICE SUPPLIES INCLUDING COPY PAPER</t>
  </si>
  <si>
    <t>22300531130</t>
  </si>
  <si>
    <t xml:space="preserve">   COC * OTHER MISC. EXPENSES</t>
  </si>
  <si>
    <t>22300531700</t>
  </si>
  <si>
    <t xml:space="preserve"> Total Clerk of Sup. Ct.</t>
  </si>
  <si>
    <t>Magistrate</t>
  </si>
  <si>
    <t xml:space="preserve">   MAG * SALARY JUDGE</t>
  </si>
  <si>
    <t>22400511101</t>
  </si>
  <si>
    <t xml:space="preserve">   MAG * SALARY * CLERKS</t>
  </si>
  <si>
    <t>22400511115</t>
  </si>
  <si>
    <t xml:space="preserve">   MAG * SALARY * APPOINTED MAGISTRATE</t>
  </si>
  <si>
    <t>22400511120</t>
  </si>
  <si>
    <t xml:space="preserve">   MAG * SALARY * CONSTABLE</t>
  </si>
  <si>
    <t>22400511125</t>
  </si>
  <si>
    <t xml:space="preserve">   MAG * HEALTH INSURANCE</t>
  </si>
  <si>
    <t>22400512100</t>
  </si>
  <si>
    <t xml:space="preserve">   MAG * PAYROLL TAXES</t>
  </si>
  <si>
    <t>22400512200</t>
  </si>
  <si>
    <t xml:space="preserve">   MAG * RETIREMENT</t>
  </si>
  <si>
    <t>22400512401</t>
  </si>
  <si>
    <t xml:space="preserve">   MAG * ST. UNEMPLOYMENT</t>
  </si>
  <si>
    <t>22400512600</t>
  </si>
  <si>
    <t xml:space="preserve">   MAG * WORKERS COMP INS</t>
  </si>
  <si>
    <t>22400512700</t>
  </si>
  <si>
    <t xml:space="preserve">   MAG. VEH. * R&amp;M.</t>
  </si>
  <si>
    <t>22400522200</t>
  </si>
  <si>
    <t xml:space="preserve">   MAG * R&amp;M *. OFF EQUIP</t>
  </si>
  <si>
    <t>22400522206</t>
  </si>
  <si>
    <t xml:space="preserve">   MAG * INSURANCE</t>
  </si>
  <si>
    <t>22400523150</t>
  </si>
  <si>
    <t xml:space="preserve">   MAG * TELEPHONE</t>
  </si>
  <si>
    <t>22400523201</t>
  </si>
  <si>
    <t xml:space="preserve">   MAG * POSTAGE &amp; BOX RENT</t>
  </si>
  <si>
    <t>22400523205</t>
  </si>
  <si>
    <t xml:space="preserve">   MAG. * SEMINARS CONVENTIONS &amp; MEETINGS</t>
  </si>
  <si>
    <t>22400523710</t>
  </si>
  <si>
    <t xml:space="preserve">   MAG * OFFICE SUPPLIES</t>
  </si>
  <si>
    <t>22400531130</t>
  </si>
  <si>
    <t xml:space="preserve">   MAG * FUEL</t>
  </si>
  <si>
    <t>22400531270</t>
  </si>
  <si>
    <t xml:space="preserve">   MAG * MISCELLANEOUS</t>
  </si>
  <si>
    <t>22400531700</t>
  </si>
  <si>
    <t xml:space="preserve">   MAG * OFFICE EQUIPMENT</t>
  </si>
  <si>
    <t>22400542350</t>
  </si>
  <si>
    <t xml:space="preserve"> Total Magistrate Court</t>
  </si>
  <si>
    <t>Probate Court</t>
  </si>
  <si>
    <t xml:space="preserve">   PC * SALARY JUDGE</t>
  </si>
  <si>
    <t>22500511101</t>
  </si>
  <si>
    <t xml:space="preserve">   PC * SALARY ASSISTANT</t>
  </si>
  <si>
    <t>22500511110</t>
  </si>
  <si>
    <t xml:space="preserve">   PC * HEALTH INSURANCE</t>
  </si>
  <si>
    <t>22500512100</t>
  </si>
  <si>
    <t xml:space="preserve">   PC * FICA</t>
  </si>
  <si>
    <t>22500512200</t>
  </si>
  <si>
    <t xml:space="preserve">   PC * RETIREMENT</t>
  </si>
  <si>
    <t>22500512401</t>
  </si>
  <si>
    <t xml:space="preserve">   PC * ST. UNEMPLOYMENT</t>
  </si>
  <si>
    <t>22500512600</t>
  </si>
  <si>
    <t xml:space="preserve">   PC * WORKERS COMP INS</t>
  </si>
  <si>
    <t>22500512700</t>
  </si>
  <si>
    <t xml:space="preserve">   PC * COURT EXPENSE</t>
  </si>
  <si>
    <t>22500521208</t>
  </si>
  <si>
    <t xml:space="preserve">   PC * R&amp;M * OFF EQUIP</t>
  </si>
  <si>
    <t>22500522206</t>
  </si>
  <si>
    <t xml:space="preserve">   PC * COPY MACHINE EXPENSE</t>
  </si>
  <si>
    <t>22500522250</t>
  </si>
  <si>
    <t xml:space="preserve">   PC * COMPUTER PROGRAMS SUPPORT</t>
  </si>
  <si>
    <t>22500523050</t>
  </si>
  <si>
    <t xml:space="preserve">   PC * TELEPHONE</t>
  </si>
  <si>
    <t>22500523201</t>
  </si>
  <si>
    <t xml:space="preserve">   PC * POSTAGE &amp; BOX RENT</t>
  </si>
  <si>
    <t>22500523205</t>
  </si>
  <si>
    <t xml:space="preserve">   PC * PUBLIC NOTICES</t>
  </si>
  <si>
    <t>22500523305</t>
  </si>
  <si>
    <t xml:space="preserve">   PC * DUES</t>
  </si>
  <si>
    <t>22500523610</t>
  </si>
  <si>
    <t xml:space="preserve">   PC * VITAL STATISTICS</t>
  </si>
  <si>
    <t>22500523625</t>
  </si>
  <si>
    <t xml:space="preserve">   PC * CONT. EDUCATION</t>
  </si>
  <si>
    <t>22500523701</t>
  </si>
  <si>
    <t xml:space="preserve">   PC * CONTRACT LABOR*</t>
  </si>
  <si>
    <t>22500523855</t>
  </si>
  <si>
    <t xml:space="preserve">   PC * OFFICE SUPPLIES</t>
  </si>
  <si>
    <t>22500531130</t>
  </si>
  <si>
    <t xml:space="preserve">   PC * FINGERPRINTING &amp; OTHER PROBATE COURT EXPENSE</t>
  </si>
  <si>
    <t>22500531701</t>
  </si>
  <si>
    <t xml:space="preserve"> Total Probate Court</t>
  </si>
  <si>
    <t>Total Judiciary</t>
  </si>
  <si>
    <t>PUBLIC SAFETY</t>
  </si>
  <si>
    <t>Sheriff</t>
  </si>
  <si>
    <t xml:space="preserve">   SHER * SALARY SHERIFF</t>
  </si>
  <si>
    <t>33500511101</t>
  </si>
  <si>
    <t xml:space="preserve">   SHER * SALARY CLERICAL</t>
  </si>
  <si>
    <t>33500511115</t>
  </si>
  <si>
    <t xml:space="preserve">   SHER * SALARY DEPUTIES</t>
  </si>
  <si>
    <t>33500511130</t>
  </si>
  <si>
    <t xml:space="preserve">   SHER * HEALTH INS.</t>
  </si>
  <si>
    <t>33500512100</t>
  </si>
  <si>
    <t xml:space="preserve">   SHER * PAYROLL TAXES</t>
  </si>
  <si>
    <t>33500512200</t>
  </si>
  <si>
    <t xml:space="preserve">   SHER * RETIREMENT</t>
  </si>
  <si>
    <t>33500512401</t>
  </si>
  <si>
    <t xml:space="preserve">   SHER * W/COMPENSATION</t>
  </si>
  <si>
    <t>33500512700</t>
  </si>
  <si>
    <t xml:space="preserve">   SHER * GTA * TECHNICAL SUPPORT</t>
  </si>
  <si>
    <t>33500521300</t>
  </si>
  <si>
    <t xml:space="preserve">   SHER * DRUG &amp; ALCOHOL TESTING</t>
  </si>
  <si>
    <t>33500521310</t>
  </si>
  <si>
    <t xml:space="preserve">   SHER * RADIO CONTRACT</t>
  </si>
  <si>
    <t>33500521330</t>
  </si>
  <si>
    <t xml:space="preserve">   SHER * R&amp;M * VEHICLES</t>
  </si>
  <si>
    <t>33500522202</t>
  </si>
  <si>
    <t xml:space="preserve">   SHER * R&amp;M * OFF EQUIP.</t>
  </si>
  <si>
    <t>33500522206</t>
  </si>
  <si>
    <t xml:space="preserve">   SHER * VEHICLE INSURANCE *</t>
  </si>
  <si>
    <t>33500523110</t>
  </si>
  <si>
    <t xml:space="preserve">   SHER * INSURANCE * AUTOS</t>
  </si>
  <si>
    <t>33500523111</t>
  </si>
  <si>
    <t xml:space="preserve">   SHER * LAW ENFORCEMENT LIABILITY</t>
  </si>
  <si>
    <t>33500523180</t>
  </si>
  <si>
    <t>33500523201</t>
  </si>
  <si>
    <t>33500523202</t>
  </si>
  <si>
    <t xml:space="preserve">   SHER * POSTAGE/BX RT/SHIPPING</t>
  </si>
  <si>
    <t>33500523205</t>
  </si>
  <si>
    <t xml:space="preserve">   SHER * PUBLIC NOTICE EXP.</t>
  </si>
  <si>
    <t>33500523305</t>
  </si>
  <si>
    <t xml:space="preserve">   SHER * TRAVEL &amp; SEMINARS</t>
  </si>
  <si>
    <t>33500523500</t>
  </si>
  <si>
    <t xml:space="preserve">   SHER * COMPUTER</t>
  </si>
  <si>
    <t>33500523550</t>
  </si>
  <si>
    <t xml:space="preserve">   SHER * DUES</t>
  </si>
  <si>
    <t>33500523610</t>
  </si>
  <si>
    <t xml:space="preserve">   SHER * TRAINING</t>
  </si>
  <si>
    <t>33500523705</t>
  </si>
  <si>
    <t xml:space="preserve">   SHER * OFFICE SUPPLIES</t>
  </si>
  <si>
    <t>33500531130</t>
  </si>
  <si>
    <t xml:space="preserve">   SHER * UNIFORMS</t>
  </si>
  <si>
    <t>33500531150</t>
  </si>
  <si>
    <t xml:space="preserve">   SHER * FUEL</t>
  </si>
  <si>
    <t>33500531270</t>
  </si>
  <si>
    <t xml:space="preserve">   SHER. OTHER SUPPLIES</t>
  </si>
  <si>
    <t>33500531700</t>
  </si>
  <si>
    <t xml:space="preserve">   SHER * INVESTIGATE AUTO&amp;K 9 SUPPLIES</t>
  </si>
  <si>
    <t>33500531705</t>
  </si>
  <si>
    <t xml:space="preserve">   SHER * VEHICLE TAGS &amp; TAXES</t>
  </si>
  <si>
    <t>33500531725</t>
  </si>
  <si>
    <t xml:space="preserve">   SHER*R&amp;M AUTO TIRES OIL GREASE ETC</t>
  </si>
  <si>
    <t>33500531750</t>
  </si>
  <si>
    <t xml:space="preserve">   SHER * AUTO PURCHASES &amp; LEASES</t>
  </si>
  <si>
    <t>33500542200</t>
  </si>
  <si>
    <t xml:space="preserve">   SHER * GRANT WRITER</t>
  </si>
  <si>
    <t>33500545000</t>
  </si>
  <si>
    <t xml:space="preserve">   SHER * MISC. REPORTS ETC.</t>
  </si>
  <si>
    <t>33500571175</t>
  </si>
  <si>
    <t xml:space="preserve">   SHER * DRUG TASK FORCE*CONTRIB. &amp; DUES</t>
  </si>
  <si>
    <t>33500572025</t>
  </si>
  <si>
    <t xml:space="preserve"> Total Sheriff</t>
  </si>
  <si>
    <t>Jail</t>
  </si>
  <si>
    <t xml:space="preserve">   JAIL * SAL. * DETENTION OFFICERS* JAILORS</t>
  </si>
  <si>
    <t>33600511100</t>
  </si>
  <si>
    <t xml:space="preserve">   JAIL * SAL. ADMINISTRATOR</t>
  </si>
  <si>
    <t>33600511105</t>
  </si>
  <si>
    <t xml:space="preserve">   JAIL * EMPLOYEES * HEALTH INS.*</t>
  </si>
  <si>
    <t>33600512100</t>
  </si>
  <si>
    <t xml:space="preserve">   JAIL * EMPLOYEES * P/R TAXES</t>
  </si>
  <si>
    <t>33600512200</t>
  </si>
  <si>
    <t xml:space="preserve">   JAIL * EMPLOYEES * RETIREMENT</t>
  </si>
  <si>
    <t>33600512401</t>
  </si>
  <si>
    <t xml:space="preserve">   JAIL * EMPLOYEES * UNEMPLOYMENT</t>
  </si>
  <si>
    <t>33600512600</t>
  </si>
  <si>
    <t xml:space="preserve">   JAIL * EMPLOYEES * W/COMP.INS *</t>
  </si>
  <si>
    <t>33600512700</t>
  </si>
  <si>
    <t xml:space="preserve">   JAIL * SOFTWARE MAINT.</t>
  </si>
  <si>
    <t>33600521300</t>
  </si>
  <si>
    <t xml:space="preserve">   JAIL * TASERS</t>
  </si>
  <si>
    <t>33600521335</t>
  </si>
  <si>
    <t xml:space="preserve">   JAIL * MAINT. &amp; GROUNDS</t>
  </si>
  <si>
    <t>33600522150</t>
  </si>
  <si>
    <t xml:space="preserve">   JAIL * R &amp; M * VEHICLES</t>
  </si>
  <si>
    <t>33600522202</t>
  </si>
  <si>
    <t xml:space="preserve">   JAIL * OTHER BLDG * .R&amp;M * MATERIALS</t>
  </si>
  <si>
    <t>33600522207</t>
  </si>
  <si>
    <t xml:space="preserve">   JAIL * PROPERTY INSURANCE</t>
  </si>
  <si>
    <t>33600523125</t>
  </si>
  <si>
    <t xml:space="preserve">   JAIL * PHONES * DETENTION</t>
  </si>
  <si>
    <t>33600523201</t>
  </si>
  <si>
    <t xml:space="preserve">   JAIL * R&amp;M VIDEO CAMERAS</t>
  </si>
  <si>
    <t>33600523203</t>
  </si>
  <si>
    <t xml:space="preserve">   JAIL * TRAINING * DETENTION</t>
  </si>
  <si>
    <t>33600523705</t>
  </si>
  <si>
    <t xml:space="preserve">   JAIL * PEST CONTROL * DETENTION</t>
  </si>
  <si>
    <t>33600523857</t>
  </si>
  <si>
    <t xml:space="preserve">   JAIL * INMATES MEDICAL EXPENSES</t>
  </si>
  <si>
    <t>33600523910</t>
  </si>
  <si>
    <t xml:space="preserve">   JAIL * HOUSE INMATES ELSEWHERE</t>
  </si>
  <si>
    <t>33600523930</t>
  </si>
  <si>
    <t xml:space="preserve">   JAIL * CLEANING SUPPLIES</t>
  </si>
  <si>
    <t>33600531115</t>
  </si>
  <si>
    <t xml:space="preserve">   JAIL * DETENTION * SUPPLIES</t>
  </si>
  <si>
    <t>33600531130</t>
  </si>
  <si>
    <t xml:space="preserve">   JAIL * UNIFORMS * DETENTION</t>
  </si>
  <si>
    <t>33600531150</t>
  </si>
  <si>
    <t xml:space="preserve">   JAIL * UTILITIES * ELEC. WATER GAS</t>
  </si>
  <si>
    <t>33600531200</t>
  </si>
  <si>
    <t xml:space="preserve">   JAIL * FOOD * MEALS FOR INMATES* DETENTION</t>
  </si>
  <si>
    <t>33600531300</t>
  </si>
  <si>
    <t>Total Jail</t>
  </si>
  <si>
    <t>Coroner</t>
  </si>
  <si>
    <t xml:space="preserve">   CORONER * SALARY</t>
  </si>
  <si>
    <t>33640511100</t>
  </si>
  <si>
    <t xml:space="preserve">   CORONER * INS. GRP. HEALTH</t>
  </si>
  <si>
    <t>33640512100</t>
  </si>
  <si>
    <t xml:space="preserve">   CORONER * FICA</t>
  </si>
  <si>
    <t>33640512200</t>
  </si>
  <si>
    <t xml:space="preserve">   CORONER * WORKERS COMP INS</t>
  </si>
  <si>
    <t>33640512700</t>
  </si>
  <si>
    <t xml:space="preserve">   CORONER &amp; DEP.COR.* INQUESTS</t>
  </si>
  <si>
    <t>33640521209</t>
  </si>
  <si>
    <t xml:space="preserve">   CORONER * INSURANCE &amp; BONDS</t>
  </si>
  <si>
    <t>33640523140</t>
  </si>
  <si>
    <t xml:space="preserve">   CORONER * PAGER CELL PH &amp; PHONE</t>
  </si>
  <si>
    <t>33640523201</t>
  </si>
  <si>
    <t xml:space="preserve">   CORONER * CELL PHONE &amp; PHONE</t>
  </si>
  <si>
    <t>33640523202</t>
  </si>
  <si>
    <t xml:space="preserve">   CORONER * TRANSP CORPSE TO LAB</t>
  </si>
  <si>
    <t>33640523510</t>
  </si>
  <si>
    <t xml:space="preserve">   CORONER * DUES</t>
  </si>
  <si>
    <t>33640523601</t>
  </si>
  <si>
    <t xml:space="preserve">   CORONER * OTHER MISC.</t>
  </si>
  <si>
    <t xml:space="preserve">   CORONER * SUPPLIES</t>
  </si>
  <si>
    <t>33640531100</t>
  </si>
  <si>
    <t xml:space="preserve">   CORONER * VEHICLE</t>
  </si>
  <si>
    <t>33640542200</t>
  </si>
  <si>
    <t xml:space="preserve"> Total Coroner</t>
  </si>
  <si>
    <t>E-911</t>
  </si>
  <si>
    <t xml:space="preserve">   E 911 * SALARIES *</t>
  </si>
  <si>
    <t>33650511100</t>
  </si>
  <si>
    <t xml:space="preserve">   E 911 * HEALTH INS</t>
  </si>
  <si>
    <t>33650512100</t>
  </si>
  <si>
    <t xml:space="preserve">   E 911 * PR TAXES</t>
  </si>
  <si>
    <t>33650512200</t>
  </si>
  <si>
    <t xml:space="preserve">   E 911 * RETIREMENT</t>
  </si>
  <si>
    <t>33650512401</t>
  </si>
  <si>
    <t xml:space="preserve">   E 911 * W/COMP</t>
  </si>
  <si>
    <t>33650512700</t>
  </si>
  <si>
    <t xml:space="preserve">   E 911 * GTA * TECHNICAL SUPPORT</t>
  </si>
  <si>
    <t>33650521300</t>
  </si>
  <si>
    <t xml:space="preserve">   E 911 * DRUG &amp; ALCOHOL TESTING</t>
  </si>
  <si>
    <t>33650521310</t>
  </si>
  <si>
    <t xml:space="preserve">   E 911 * RADIO CONTRACT</t>
  </si>
  <si>
    <t>33650521330</t>
  </si>
  <si>
    <t xml:space="preserve">   E 911 * VEH. R&amp;M * &amp; INSURANCE</t>
  </si>
  <si>
    <t>33650522202</t>
  </si>
  <si>
    <t xml:space="preserve">   E 911 * BLDG. &amp; EQUIP R&amp;M * MAINT</t>
  </si>
  <si>
    <t>33650522207</t>
  </si>
  <si>
    <t xml:space="preserve">   E 911 * COST RECOVERY CELL PH COMPANY</t>
  </si>
  <si>
    <t>33650523000</t>
  </si>
  <si>
    <t xml:space="preserve">   E 911 * SOFTWARE 24/7 SUPPORT</t>
  </si>
  <si>
    <t>33650523050</t>
  </si>
  <si>
    <t xml:space="preserve">   E 911 * PROPERTY INSURANCE</t>
  </si>
  <si>
    <t>33650523125</t>
  </si>
  <si>
    <t xml:space="preserve">   E 911 * TELEPHONE</t>
  </si>
  <si>
    <t>33650523201</t>
  </si>
  <si>
    <t xml:space="preserve">   E 911 * UNEMPLOYMENT</t>
  </si>
  <si>
    <t>33650523203</t>
  </si>
  <si>
    <t xml:space="preserve">   E 911 * REIMB.MILAGE TRAVEL&amp;LODG</t>
  </si>
  <si>
    <t>33650523501</t>
  </si>
  <si>
    <t xml:space="preserve">   E 911 * MISC. GDOC OTHER EXP</t>
  </si>
  <si>
    <t>33650523900</t>
  </si>
  <si>
    <t xml:space="preserve">   E 911 * ADDRESS SIGN SUPLIES</t>
  </si>
  <si>
    <t>33650531100</t>
  </si>
  <si>
    <t xml:space="preserve">   E 911 * CLEANING SUPPLIES</t>
  </si>
  <si>
    <t>33650531115</t>
  </si>
  <si>
    <t xml:space="preserve">   E 911 * OFFICE SUPPLIES</t>
  </si>
  <si>
    <t>33650531130</t>
  </si>
  <si>
    <t xml:space="preserve">   E 911 * UNIFORMS</t>
  </si>
  <si>
    <t>33650531150</t>
  </si>
  <si>
    <t xml:space="preserve">   E 911 * ALL UTIL.SEE SUB CATEG.</t>
  </si>
  <si>
    <t>33650531200</t>
  </si>
  <si>
    <t xml:space="preserve">   E 911 * WATER</t>
  </si>
  <si>
    <t>33650531210</t>
  </si>
  <si>
    <t xml:space="preserve">   E 911 * VEH. FUEL TIRES &amp; OIL</t>
  </si>
  <si>
    <t>33650531270</t>
  </si>
  <si>
    <t xml:space="preserve">   E 911 * OFFICE R&amp;M</t>
  </si>
  <si>
    <t>33650531280</t>
  </si>
  <si>
    <t xml:space="preserve"> Total E-911</t>
  </si>
  <si>
    <t>Emergency Medical Services</t>
  </si>
  <si>
    <t xml:space="preserve">   EMS * SALARIES *PUBLIC SAFETY</t>
  </si>
  <si>
    <t>33700511100</t>
  </si>
  <si>
    <t xml:space="preserve">   EMS * INS. GRP HLTH.* PUBLIC SAFETY</t>
  </si>
  <si>
    <t>33700512100</t>
  </si>
  <si>
    <t xml:space="preserve">   EMS * FICA * PUBLIC SAFETY</t>
  </si>
  <si>
    <t>33700512200</t>
  </si>
  <si>
    <t xml:space="preserve">   EMS * RETIREMENT * PUB SAFETY</t>
  </si>
  <si>
    <t>33700512401</t>
  </si>
  <si>
    <t xml:space="preserve">   EMS * UNEMP * PUBLIC SAFETY</t>
  </si>
  <si>
    <t>33700512600</t>
  </si>
  <si>
    <t xml:space="preserve">   EMS * W/COMP * PUBLIC SAFETY</t>
  </si>
  <si>
    <t>33700512700</t>
  </si>
  <si>
    <t xml:space="preserve">   EMS * UTILITIES</t>
  </si>
  <si>
    <t>33700521230</t>
  </si>
  <si>
    <t xml:space="preserve">   EMS * DRUG &amp; ALCOHOL TESTING</t>
  </si>
  <si>
    <t>33700521310</t>
  </si>
  <si>
    <t xml:space="preserve">   EMS * VEHICLE EXPENSES</t>
  </si>
  <si>
    <t>33700522202</t>
  </si>
  <si>
    <t xml:space="preserve">   EMS * EQUIP. R&amp;M *</t>
  </si>
  <si>
    <t>33700522203</t>
  </si>
  <si>
    <t xml:space="preserve">   EMS * RENT ON HOSPITAL SPACE</t>
  </si>
  <si>
    <t>33700522315</t>
  </si>
  <si>
    <t xml:space="preserve">   EMS * CONSULT. * PATIENT BILLS</t>
  </si>
  <si>
    <t>33700523100</t>
  </si>
  <si>
    <t>33700523201</t>
  </si>
  <si>
    <t xml:space="preserve">   EMS * CELL PHONES</t>
  </si>
  <si>
    <t>33700523202</t>
  </si>
  <si>
    <t xml:space="preserve">   EMS * RADIOS</t>
  </si>
  <si>
    <t>33700523203</t>
  </si>
  <si>
    <t xml:space="preserve">   EMS * TRAVEL &amp; SEMINARS</t>
  </si>
  <si>
    <t>33700523500</t>
  </si>
  <si>
    <t>33700523900</t>
  </si>
  <si>
    <t xml:space="preserve">   EMS * OFFICE SUPPLIES EQUIP R&amp;M</t>
  </si>
  <si>
    <t>33700531130</t>
  </si>
  <si>
    <t xml:space="preserve">   EMS * UNIFORMS</t>
  </si>
  <si>
    <t>33700531150</t>
  </si>
  <si>
    <t xml:space="preserve">   EMS * AMBULANCE SUPPLIES*STOCK</t>
  </si>
  <si>
    <t>33700531160</t>
  </si>
  <si>
    <t xml:space="preserve">   EMS * FUEL REIMB. &amp; LOCAL FUEL</t>
  </si>
  <si>
    <t>33700531270</t>
  </si>
  <si>
    <t xml:space="preserve">   EMS * EQUIP. PURCHASED * INVENTORY @ E 911</t>
  </si>
  <si>
    <t>33700542500</t>
  </si>
  <si>
    <t xml:space="preserve">   EMS * GRANT WRITER</t>
  </si>
  <si>
    <t>33700545000</t>
  </si>
  <si>
    <t xml:space="preserve">   EMS * EDUCATION</t>
  </si>
  <si>
    <t>33700550000</t>
  </si>
  <si>
    <t xml:space="preserve"> Total EMS</t>
  </si>
  <si>
    <t>Other Public Safety</t>
  </si>
  <si>
    <t xml:space="preserve">   PS * RFD *  RURAL FIRE DEPT&amp;OTHER EXP.MPS</t>
  </si>
  <si>
    <t>33800572000</t>
  </si>
  <si>
    <t>77030511100</t>
  </si>
  <si>
    <t>77030511115</t>
  </si>
  <si>
    <t>77030512100</t>
  </si>
  <si>
    <t>77030512200</t>
  </si>
  <si>
    <t>77030512401</t>
  </si>
  <si>
    <t>77030512700</t>
  </si>
  <si>
    <t>77030522222</t>
  </si>
  <si>
    <t>77030522250</t>
  </si>
  <si>
    <t>77030523201</t>
  </si>
  <si>
    <t>77030523500</t>
  </si>
  <si>
    <t>77030523600</t>
  </si>
  <si>
    <t>77030523700</t>
  </si>
  <si>
    <t>77030523900</t>
  </si>
  <si>
    <t xml:space="preserve">   </t>
  </si>
  <si>
    <t>77030531000</t>
  </si>
  <si>
    <t>Total Fire Safety Coordinator</t>
  </si>
  <si>
    <t xml:space="preserve">   ODTF * SALARIES</t>
  </si>
  <si>
    <t>33895511100</t>
  </si>
  <si>
    <t xml:space="preserve">   ODTF INS.GRP. HEALTH</t>
  </si>
  <si>
    <t>33895512100</t>
  </si>
  <si>
    <t xml:space="preserve">   ODTF * OTHER INS.</t>
  </si>
  <si>
    <t>33895512120</t>
  </si>
  <si>
    <t xml:space="preserve">   ODTF FICA</t>
  </si>
  <si>
    <t>33895512200</t>
  </si>
  <si>
    <t xml:space="preserve">   ODTF * ST. UNEMP.</t>
  </si>
  <si>
    <t>33895512600</t>
  </si>
  <si>
    <t xml:space="preserve">   ODTF * W/COMP.</t>
  </si>
  <si>
    <t>33895512700</t>
  </si>
  <si>
    <t xml:space="preserve"> Total Oconee Drug Task Force</t>
  </si>
  <si>
    <t>33900511100</t>
  </si>
  <si>
    <t>33900523900</t>
  </si>
  <si>
    <t>33900531270</t>
  </si>
  <si>
    <t>Total Public Safety</t>
  </si>
  <si>
    <t>PUBLIC WORKS</t>
  </si>
  <si>
    <t>Roads</t>
  </si>
  <si>
    <t xml:space="preserve">   RD. DEPT. * SALARIES</t>
  </si>
  <si>
    <t>44000511100</t>
  </si>
  <si>
    <t xml:space="preserve">   RD. DEPT. * GROUP HEALTH INS.</t>
  </si>
  <si>
    <t>44000512100</t>
  </si>
  <si>
    <t xml:space="preserve">   RD. DEPT. * PAYROLL TAXES</t>
  </si>
  <si>
    <t>44000512200</t>
  </si>
  <si>
    <t xml:space="preserve">   RD. DEPT. * RETIREMENT</t>
  </si>
  <si>
    <t>44000512401</t>
  </si>
  <si>
    <t xml:space="preserve">   RD. DEPT. * ST. UNEMPLOYMENT</t>
  </si>
  <si>
    <t>44000512600</t>
  </si>
  <si>
    <t xml:space="preserve">   RD. DEPT. * WORKERS COMPENSATION</t>
  </si>
  <si>
    <t>44000512700</t>
  </si>
  <si>
    <t xml:space="preserve">   RD. DEPT. * SUBSTANCE ABUSE TESTING</t>
  </si>
  <si>
    <t>44000521310</t>
  </si>
  <si>
    <t xml:space="preserve">   DNU # RD. DEPT. * ROAD MAINTENANCE</t>
  </si>
  <si>
    <t>44000522000</t>
  </si>
  <si>
    <t xml:space="preserve">   RD. DEPT. * R&amp;M *</t>
  </si>
  <si>
    <t>44000522200</t>
  </si>
  <si>
    <t xml:space="preserve">   RD. DEPT. * ROAD MAINTENANCE *</t>
  </si>
  <si>
    <t>44000522204</t>
  </si>
  <si>
    <t xml:space="preserve">   RD. DEPT. * UNIFORMS* CO.PAYS</t>
  </si>
  <si>
    <t>44000522330</t>
  </si>
  <si>
    <t xml:space="preserve">   RD. DEPT. * INS. ON VEHICLES</t>
  </si>
  <si>
    <t>44000523110</t>
  </si>
  <si>
    <t xml:space="preserve">   RD. DEPT. * INS. ON ROAD EQUIPMENT</t>
  </si>
  <si>
    <t>44000523120</t>
  </si>
  <si>
    <t xml:space="preserve">   RD. DEPT. * PROPERTY INSURANCE</t>
  </si>
  <si>
    <t>44000523125</t>
  </si>
  <si>
    <t xml:space="preserve">   RD. DEPT. * DEDUCTIBLE ON LIABILITY EQUIP</t>
  </si>
  <si>
    <t>44000523130</t>
  </si>
  <si>
    <t xml:space="preserve">   RD. DEPT. * TELEPHONE &amp; UTILITIES</t>
  </si>
  <si>
    <t>44000523201</t>
  </si>
  <si>
    <t xml:space="preserve">   RD. DEPT. * PUBLIC NOTICES</t>
  </si>
  <si>
    <t>44000523305</t>
  </si>
  <si>
    <t xml:space="preserve">   RD. DEPT. * TRAVEL TAGS &amp; TITLES</t>
  </si>
  <si>
    <t>44000523500</t>
  </si>
  <si>
    <t xml:space="preserve">   RD. DEPT. * OTHER</t>
  </si>
  <si>
    <t>44000523900</t>
  </si>
  <si>
    <t xml:space="preserve">   RD. DEPT. * TOOLS MATERIALS SUPPLIES</t>
  </si>
  <si>
    <t>44000531100</t>
  </si>
  <si>
    <t xml:space="preserve">   RD. DEPT. * FUEL*</t>
  </si>
  <si>
    <t>44000531270</t>
  </si>
  <si>
    <t xml:space="preserve">   RD. DEPT. * OIL &amp; GREASE</t>
  </si>
  <si>
    <t>44000531750</t>
  </si>
  <si>
    <t xml:space="preserve"> Total Roads</t>
  </si>
  <si>
    <t>Sanitation</t>
  </si>
  <si>
    <t xml:space="preserve">   SANIT./LF * SALARY *MGR'S</t>
  </si>
  <si>
    <t>44100511100</t>
  </si>
  <si>
    <t xml:space="preserve">   SANIT./LF * SALARY* LANDFILL</t>
  </si>
  <si>
    <t>44100511110</t>
  </si>
  <si>
    <t xml:space="preserve">   SANIT. * SAL. * TPU</t>
  </si>
  <si>
    <t>44100511120</t>
  </si>
  <si>
    <t xml:space="preserve">   SANIT./LF HEALTH INS.</t>
  </si>
  <si>
    <t>44100512100</t>
  </si>
  <si>
    <t xml:space="preserve">   SANIT. HEALTH INS. TPU *</t>
  </si>
  <si>
    <t>44100512101</t>
  </si>
  <si>
    <t xml:space="preserve">   SANIT. * P/R TAXES</t>
  </si>
  <si>
    <t>44100512200</t>
  </si>
  <si>
    <t xml:space="preserve">   SANIT. * RETIREMENT</t>
  </si>
  <si>
    <t>44100512401</t>
  </si>
  <si>
    <t xml:space="preserve">   SANIT. * UNEMP. INS.</t>
  </si>
  <si>
    <t>44100512600</t>
  </si>
  <si>
    <t xml:space="preserve">   SANIT. * W/COMPENSATION</t>
  </si>
  <si>
    <t>44100512700</t>
  </si>
  <si>
    <t xml:space="preserve">   SANIT./LF * WELL TESTING</t>
  </si>
  <si>
    <t>44100521340</t>
  </si>
  <si>
    <t xml:space="preserve">   SANIT TPU * R&amp;M</t>
  </si>
  <si>
    <t>44100522200</t>
  </si>
  <si>
    <t xml:space="preserve">   SANIT. * PUBLIC NOTICES</t>
  </si>
  <si>
    <t>44100523305</t>
  </si>
  <si>
    <t xml:space="preserve">   SANIT./LF GENERAL REPAIR</t>
  </si>
  <si>
    <t>44100523900</t>
  </si>
  <si>
    <t xml:space="preserve">   SANIT./LF * SCALES</t>
  </si>
  <si>
    <t>44100531000</t>
  </si>
  <si>
    <t xml:space="preserve">   SANIT./LF * UTILITIES</t>
  </si>
  <si>
    <t>44100531200</t>
  </si>
  <si>
    <t xml:space="preserve">   SANIT./ LF * FUEL * GAS &amp; DIESEL</t>
  </si>
  <si>
    <t>44100531270</t>
  </si>
  <si>
    <t xml:space="preserve">   SANIT./LF*VEH.&amp; EQ.INS TAGS&amp;TITLES</t>
  </si>
  <si>
    <t>44100542200</t>
  </si>
  <si>
    <t xml:space="preserve"> Total Sanitation</t>
  </si>
  <si>
    <t>Total Public Works</t>
  </si>
  <si>
    <t>HEALTH AND WELFARE</t>
  </si>
  <si>
    <t xml:space="preserve">   H&amp;W * NEW HLTH DP. BLDG *</t>
  </si>
  <si>
    <t>55000522207</t>
  </si>
  <si>
    <t xml:space="preserve">   H&amp;W*Hlth Dept Bldg R&amp;M</t>
  </si>
  <si>
    <t>55000523855</t>
  </si>
  <si>
    <t xml:space="preserve">   H&amp;W * PUBLIC HEALTH</t>
  </si>
  <si>
    <t>55000572000</t>
  </si>
  <si>
    <t xml:space="preserve">   H&amp;W * LOCAL HEALTH * CONTRIBUTION</t>
  </si>
  <si>
    <t>55000572001</t>
  </si>
  <si>
    <t xml:space="preserve">   H&amp;W * COMM. MENTAL HEALTH * DUBLIN</t>
  </si>
  <si>
    <t>55000572002</t>
  </si>
  <si>
    <t xml:space="preserve">   H&amp;W * DeFACS PMTS.</t>
  </si>
  <si>
    <t>55000573010</t>
  </si>
  <si>
    <t xml:space="preserve">   H&amp;W * PAUPER EXPENSE * PUBLIC WELFARE</t>
  </si>
  <si>
    <t>55000575452</t>
  </si>
  <si>
    <t>Subtotal Misc. Health &amp; Welfare</t>
  </si>
  <si>
    <t>Nutrition Center:</t>
  </si>
  <si>
    <t xml:space="preserve">   NUT. CTR. * SALARIES</t>
  </si>
  <si>
    <t>55100511100</t>
  </si>
  <si>
    <t xml:space="preserve">   NUT. CTR.* PAYROLL TAXES</t>
  </si>
  <si>
    <t>55100512101</t>
  </si>
  <si>
    <t xml:space="preserve">   NUT. CTR WORKER'S COMP</t>
  </si>
  <si>
    <t>55100512700</t>
  </si>
  <si>
    <t xml:space="preserve">   NUT. CTR. CONTRIBUTION</t>
  </si>
  <si>
    <t>55100572007</t>
  </si>
  <si>
    <t>Total Nutrition</t>
  </si>
  <si>
    <t>Total Health &amp; Welfare Expense</t>
  </si>
  <si>
    <t>RECREATION &amp; CULTURE</t>
  </si>
  <si>
    <t xml:space="preserve">   REC. DEPT. * GROUP HEALTH INS.*</t>
  </si>
  <si>
    <t>66000512100</t>
  </si>
  <si>
    <t xml:space="preserve">   REC. DEPT. * FUEL</t>
  </si>
  <si>
    <t>66000531270</t>
  </si>
  <si>
    <t xml:space="preserve">   REC. DEPT. * PROG. OTHER EXPEN</t>
  </si>
  <si>
    <t>66000531700</t>
  </si>
  <si>
    <t xml:space="preserve">   R&amp;C * LIBRARY LOCAL CONTRIB/EXP</t>
  </si>
  <si>
    <t>66000572000</t>
  </si>
  <si>
    <t xml:space="preserve">   R&amp;C * REC. DEPT. CONTRIBUTION</t>
  </si>
  <si>
    <t>66000572003</t>
  </si>
  <si>
    <t xml:space="preserve">   R&amp;C * LIBRARY * Contribution * Reginal</t>
  </si>
  <si>
    <t>66000572005</t>
  </si>
  <si>
    <t>Total Recreation &amp; Culture</t>
  </si>
  <si>
    <t>DEVELOPMENT &amp; HOUSING</t>
  </si>
  <si>
    <t>Building Inspection</t>
  </si>
  <si>
    <t xml:space="preserve">   BLDG. INSP. * SALARY</t>
  </si>
  <si>
    <t>77010511100</t>
  </si>
  <si>
    <t xml:space="preserve">   BLDG. INSP. HEALTH INSURANCE</t>
  </si>
  <si>
    <t>77010512100</t>
  </si>
  <si>
    <t xml:space="preserve">   BLDG. INSP. * TEL. SUPP ADS VEHICLE</t>
  </si>
  <si>
    <t>77010512200</t>
  </si>
  <si>
    <t xml:space="preserve">   BLDG. INSP. * PAYROLL TAXES</t>
  </si>
  <si>
    <t>77010512300</t>
  </si>
  <si>
    <t xml:space="preserve">   BLDG INSP RETIREMENT</t>
  </si>
  <si>
    <t>77010512401</t>
  </si>
  <si>
    <t xml:space="preserve">   BLDG. INSP. * UNEMPLOYMENT</t>
  </si>
  <si>
    <t>77010512600</t>
  </si>
  <si>
    <t xml:space="preserve">   BLDG. INSP. * WORKERS COMPENSATION</t>
  </si>
  <si>
    <t>77010512700</t>
  </si>
  <si>
    <t xml:space="preserve">   BLDG. INSP. * COMPUTER EXPENSE * PROGRAM &amp; R&amp;M</t>
  </si>
  <si>
    <t>77010522250</t>
  </si>
  <si>
    <t xml:space="preserve">   BLDG. INSP. * VEHICLE</t>
  </si>
  <si>
    <t>77010523610</t>
  </si>
  <si>
    <t xml:space="preserve">   BLDG. INSP. * COPIER GEN REPAIRS</t>
  </si>
  <si>
    <t>77010523900</t>
  </si>
  <si>
    <t xml:space="preserve">   BLDG. INSP. * SUPPLIES</t>
  </si>
  <si>
    <t>77010531000</t>
  </si>
  <si>
    <t xml:space="preserve">   BLDG. INSP. * FUEL</t>
  </si>
  <si>
    <t>77010531270</t>
  </si>
  <si>
    <t xml:space="preserve">   BLDG. INSP. * TELEPHONE</t>
  </si>
  <si>
    <t>77010533201</t>
  </si>
  <si>
    <t>Total Building Inspector</t>
  </si>
  <si>
    <t>Other Dev &amp; Housing</t>
  </si>
  <si>
    <t xml:space="preserve">   D&amp;H * FORESTRY DEPT * PMT. CONTRIBUTION *</t>
  </si>
  <si>
    <t>77030572000</t>
  </si>
  <si>
    <t xml:space="preserve">   D&amp;H* FIRE COORDINATOR</t>
  </si>
  <si>
    <t>77030572005</t>
  </si>
  <si>
    <t xml:space="preserve">   D&amp;H * DEV./ AUTH. * CONTRIB. &amp; OTHER EXP.</t>
  </si>
  <si>
    <t>77060572010</t>
  </si>
  <si>
    <t xml:space="preserve">   NRCS * TELEPHONE * SOIL CONSERVATION</t>
  </si>
  <si>
    <t>77070523201</t>
  </si>
  <si>
    <t>Total DEV &amp; HOUSING</t>
  </si>
  <si>
    <t>COMMUNITY SERVICE</t>
  </si>
  <si>
    <t>County Agent</t>
  </si>
  <si>
    <t xml:space="preserve">   CO. AGT * SAL. ASST.SUPP* *GS</t>
  </si>
  <si>
    <t>77125511110</t>
  </si>
  <si>
    <t xml:space="preserve">   CO. AGT * SALARY* SUPP.SECRETARY *KF</t>
  </si>
  <si>
    <t>77125511115</t>
  </si>
  <si>
    <t xml:space="preserve">   CO. AGT * ASST. 4 H * OLD FAM&amp;CONSUMER SCIENCE AGENT*KJ</t>
  </si>
  <si>
    <t>77125511130</t>
  </si>
  <si>
    <t xml:space="preserve">   CO. AGT 4 H ADV.* P/R TX*SS/MED</t>
  </si>
  <si>
    <t>77125512300</t>
  </si>
  <si>
    <t xml:space="preserve">   CO. AGT * RETIREMENT * TRS</t>
  </si>
  <si>
    <t>77125512402</t>
  </si>
  <si>
    <t xml:space="preserve">   CO. AGT * WORKERS COMPENSATION</t>
  </si>
  <si>
    <t>77125512700</t>
  </si>
  <si>
    <t xml:space="preserve">   CO. AGT* UTILITIES</t>
  </si>
  <si>
    <t>77125521200</t>
  </si>
  <si>
    <t xml:space="preserve">   CO. AGT. * EQUIPMENT &amp; MAINTENAN</t>
  </si>
  <si>
    <t>77125522203</t>
  </si>
  <si>
    <t xml:space="preserve">   CO. AGT TELEPHONE</t>
  </si>
  <si>
    <t>77125523201</t>
  </si>
  <si>
    <t xml:space="preserve">   CO. AGT POSTAGE UPS &amp; BOX RENT</t>
  </si>
  <si>
    <t>77125523205</t>
  </si>
  <si>
    <t xml:space="preserve">   CO. AGT * TRAVEL ALLOWANCE</t>
  </si>
  <si>
    <t>77125523550</t>
  </si>
  <si>
    <t xml:space="preserve">   CO. AGT DUES</t>
  </si>
  <si>
    <t>77125523610</t>
  </si>
  <si>
    <t xml:space="preserve">   CO. AGT * OFFICE SUPPLIES</t>
  </si>
  <si>
    <t>77125531131</t>
  </si>
  <si>
    <t xml:space="preserve">   CO. AGT UTILITIES</t>
  </si>
  <si>
    <t>77125531200</t>
  </si>
  <si>
    <t xml:space="preserve"> Total County Agent</t>
  </si>
  <si>
    <t xml:space="preserve"> Total Farm Service Agency</t>
  </si>
  <si>
    <t>Transit</t>
  </si>
  <si>
    <t xml:space="preserve">   TRANSIT SALARIES</t>
  </si>
  <si>
    <t>77150511100</t>
  </si>
  <si>
    <t xml:space="preserve">   TRANSIT HEALTH INS.</t>
  </si>
  <si>
    <t>77150512100</t>
  </si>
  <si>
    <t xml:space="preserve">   TRANSIT PAYROLL TAXES</t>
  </si>
  <si>
    <t>77150512300</t>
  </si>
  <si>
    <t xml:space="preserve">   TRANSIT RETIREMENT</t>
  </si>
  <si>
    <t>77150512401</t>
  </si>
  <si>
    <t xml:space="preserve">   TRANSIT WORKERS COMPENSATION</t>
  </si>
  <si>
    <t>77150512700</t>
  </si>
  <si>
    <t xml:space="preserve">   TRANSIT SUBST.ABUSE TESTING</t>
  </si>
  <si>
    <t>77150521310</t>
  </si>
  <si>
    <t xml:space="preserve">   TRANSIT INS. ON VANS</t>
  </si>
  <si>
    <t>77150521331</t>
  </si>
  <si>
    <t xml:space="preserve">   TRANSIT VEHICLE REPAIRS</t>
  </si>
  <si>
    <t>77150522202</t>
  </si>
  <si>
    <t xml:space="preserve">   TRANSIT PHONES MVR EXP</t>
  </si>
  <si>
    <t>77150522700</t>
  </si>
  <si>
    <t xml:space="preserve">   TRANSIT HOG CONTRACT</t>
  </si>
  <si>
    <t>77150523025</t>
  </si>
  <si>
    <t xml:space="preserve">   TRANSIT CAP.O/LAY RADIOS&amp;10%SH</t>
  </si>
  <si>
    <t>77150523900</t>
  </si>
  <si>
    <t xml:space="preserve">   TRANSIT SUPPLIES</t>
  </si>
  <si>
    <t>77150531000</t>
  </si>
  <si>
    <t xml:space="preserve">   TRANSIT FUEL</t>
  </si>
  <si>
    <t>77150531270</t>
  </si>
  <si>
    <t xml:space="preserve"> Total Transit</t>
  </si>
  <si>
    <t>Misc Community Service</t>
  </si>
  <si>
    <t xml:space="preserve">   MCS* CONTINGENCY FUND</t>
  </si>
  <si>
    <t>88000522005</t>
  </si>
  <si>
    <t xml:space="preserve">   MCS* MISC*LEGISLATIVE SALUTE</t>
  </si>
  <si>
    <t>88000522033</t>
  </si>
  <si>
    <t xml:space="preserve">   MCS* ANIMAL CONTROL</t>
  </si>
  <si>
    <t>88000522100</t>
  </si>
  <si>
    <t xml:space="preserve">   MCS* Contrib.* RDC*HOG Regional Commission</t>
  </si>
  <si>
    <t>88000572000</t>
  </si>
  <si>
    <t xml:space="preserve">   MCS* MISC. COMM. SERV. * MISC.</t>
  </si>
  <si>
    <t>88010523900</t>
  </si>
  <si>
    <t xml:space="preserve">   MCS* AIRPORT CONTRIBUTION PMTS.</t>
  </si>
  <si>
    <t>88020572000</t>
  </si>
  <si>
    <t xml:space="preserve">   MCS*  AGRI-PARK R&amp;M &amp; MISC. EXP.</t>
  </si>
  <si>
    <t>88040523900</t>
  </si>
  <si>
    <t xml:space="preserve"> Total Misc. Community Service</t>
  </si>
  <si>
    <t>Total Community Service</t>
  </si>
  <si>
    <t>TOTAL EXPENDITURES</t>
  </si>
  <si>
    <t>TOTAL REVENUE</t>
  </si>
  <si>
    <t xml:space="preserve"> Profit (Loss) for Period</t>
  </si>
  <si>
    <t>Budget</t>
  </si>
  <si>
    <t xml:space="preserve">REVENUES </t>
  </si>
  <si>
    <t xml:space="preserve">EXPENSES - </t>
  </si>
  <si>
    <t>Notes</t>
  </si>
  <si>
    <t>Digest * 75%</t>
  </si>
  <si>
    <t>Fire / EMA</t>
  </si>
  <si>
    <t xml:space="preserve">   FIRE EMA* EMPLOYEE</t>
  </si>
  <si>
    <t xml:space="preserve">   FIRE EMA* RETIREMENT</t>
  </si>
  <si>
    <t xml:space="preserve">   FIRE EMA* W/C</t>
  </si>
  <si>
    <t xml:space="preserve">   FIRE EMA* P/R TAXES</t>
  </si>
  <si>
    <t xml:space="preserve">   FIRE EMA* HEALTH INS</t>
  </si>
  <si>
    <t xml:space="preserve">   FIRE EMA* SALARY</t>
  </si>
  <si>
    <t xml:space="preserve">   FIRE EMA* GRANT WRITER</t>
  </si>
  <si>
    <t xml:space="preserve">   FIRE EMA* COMPUTER EXPENSE</t>
  </si>
  <si>
    <t xml:space="preserve">   FIRE EMA* TELEPHONE</t>
  </si>
  <si>
    <t xml:space="preserve">   FIRE EMA* TRAVEL</t>
  </si>
  <si>
    <t xml:space="preserve">   FIRE EMA* UTILITIES</t>
  </si>
  <si>
    <t xml:space="preserve">   FIRE EMA* MISCELLANEOUS</t>
  </si>
  <si>
    <t xml:space="preserve">   FIRE EMA* DEPUTYSALARY</t>
  </si>
  <si>
    <t xml:space="preserve">   FIRE EMA* OTHER EXPENSE</t>
  </si>
  <si>
    <t xml:space="preserve">   FIRE EMA* FUEL </t>
  </si>
  <si>
    <t xml:space="preserve">   FIRE EMA* SUPPLIES/ UNIFORMS</t>
  </si>
  <si>
    <t xml:space="preserve">   FIRE EMA* TRAINING</t>
  </si>
  <si>
    <t xml:space="preserve">   EMS * CLEANING SUPP</t>
  </si>
  <si>
    <t xml:space="preserve">   EMS * LICENSING</t>
  </si>
  <si>
    <t xml:space="preserve">   EMS * MEDICAL DIRECTOR</t>
  </si>
  <si>
    <t xml:space="preserve">   CC * RETIREMENT*CO.COMM.</t>
  </si>
  <si>
    <t xml:space="preserve">   MCS* FARMERS MARKET</t>
  </si>
  <si>
    <t xml:space="preserve">   FIRE MITIGATION CHARGES</t>
  </si>
  <si>
    <t xml:space="preserve">   PRUDENT RX</t>
  </si>
  <si>
    <t xml:space="preserve">   SHER * PHONES</t>
  </si>
  <si>
    <t xml:space="preserve">   SHER * COURTHOUSE TELEPHONE</t>
  </si>
  <si>
    <t>BUDGET</t>
  </si>
  <si>
    <t>2023 Proposed</t>
  </si>
  <si>
    <t xml:space="preserve">   BOARD OF EDUCATION REIMBURSMENT</t>
  </si>
  <si>
    <t>2023 BUDGET</t>
  </si>
  <si>
    <t>Revenues</t>
  </si>
  <si>
    <t>Expenditures</t>
  </si>
  <si>
    <t>Oconee Drug Task Force</t>
  </si>
  <si>
    <t>Health &amp; Welfare</t>
  </si>
  <si>
    <t>Recreation &amp; Culture</t>
  </si>
  <si>
    <t xml:space="preserve">   FIRE EMA* INSURANCE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</si>
</sst>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0_);_(* \(#,##0.0000\);_(* &quot;-&quot;??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0000_);_(&quot;$&quot;* \(#,##0.00000\);_(&quot;$&quot;* &quot;-&quot;??_);_(@_)"/>
    <numFmt numFmtId="175" formatCode="_(&quot;$&quot;* #,##0.000000_);_(&quot;$&quot;* \(#,##0.000000\);_(&quot;$&quot;* &quot;-&quot;??_);_(@_)"/>
    <numFmt numFmtId="176" formatCode="&quot;$&quot;#,##0.00"/>
    <numFmt numFmtId="177" formatCode="_(* #,##0.000_);_(* \(#,##0.0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3" fillId="33" borderId="10" xfId="44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44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44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44" applyNumberFormat="1" applyFont="1" applyBorder="1" applyAlignment="1">
      <alignment horizontal="right"/>
    </xf>
    <xf numFmtId="3" fontId="3" fillId="0" borderId="0" xfId="44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2" xfId="0" applyFont="1" applyBorder="1" applyAlignment="1">
      <alignment horizontal="center"/>
    </xf>
    <xf numFmtId="0" fontId="2" fillId="12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Border="1" applyAlignment="1">
      <alignment horizontal="center"/>
    </xf>
    <xf numFmtId="0" fontId="2" fillId="12" borderId="13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44" fontId="3" fillId="0" borderId="0" xfId="44" applyFont="1" applyBorder="1" applyAlignment="1">
      <alignment/>
    </xf>
    <xf numFmtId="44" fontId="2" fillId="33" borderId="15" xfId="44" applyFont="1" applyFill="1" applyBorder="1" applyAlignment="1">
      <alignment/>
    </xf>
    <xf numFmtId="44" fontId="3" fillId="0" borderId="0" xfId="44" applyFont="1" applyBorder="1" applyAlignment="1">
      <alignment horizontal="center"/>
    </xf>
    <xf numFmtId="44" fontId="3" fillId="0" borderId="0" xfId="44" applyFont="1" applyAlignment="1">
      <alignment/>
    </xf>
    <xf numFmtId="44" fontId="3" fillId="33" borderId="15" xfId="44" applyFont="1" applyFill="1" applyBorder="1" applyAlignment="1">
      <alignment/>
    </xf>
    <xf numFmtId="44" fontId="3" fillId="0" borderId="16" xfId="44" applyFont="1" applyBorder="1" applyAlignment="1">
      <alignment horizontal="center"/>
    </xf>
    <xf numFmtId="0" fontId="3" fillId="33" borderId="17" xfId="44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168" fontId="0" fillId="0" borderId="0" xfId="42" applyNumberFormat="1" applyFont="1" applyAlignment="1">
      <alignment/>
    </xf>
    <xf numFmtId="168" fontId="0" fillId="0" borderId="18" xfId="42" applyNumberFormat="1" applyFont="1" applyBorder="1" applyAlignment="1">
      <alignment/>
    </xf>
    <xf numFmtId="168" fontId="3" fillId="0" borderId="0" xfId="42" applyNumberFormat="1" applyFont="1" applyAlignment="1">
      <alignment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0" fillId="0" borderId="19" xfId="42" applyNumberFormat="1" applyFont="1" applyBorder="1" applyAlignment="1">
      <alignment/>
    </xf>
    <xf numFmtId="0" fontId="0" fillId="0" borderId="19" xfId="0" applyBorder="1" applyAlignment="1">
      <alignment/>
    </xf>
    <xf numFmtId="9" fontId="0" fillId="0" borderId="0" xfId="0" applyNumberFormat="1" applyAlignment="1">
      <alignment/>
    </xf>
    <xf numFmtId="168" fontId="3" fillId="0" borderId="19" xfId="42" applyNumberFormat="1" applyFont="1" applyBorder="1" applyAlignment="1">
      <alignment/>
    </xf>
    <xf numFmtId="168" fontId="3" fillId="0" borderId="0" xfId="42" applyNumberFormat="1" applyFont="1" applyBorder="1" applyAlignment="1">
      <alignment/>
    </xf>
    <xf numFmtId="0" fontId="2" fillId="12" borderId="20" xfId="0" applyFont="1" applyFill="1" applyBorder="1" applyAlignment="1">
      <alignment horizontal="center"/>
    </xf>
    <xf numFmtId="168" fontId="3" fillId="0" borderId="19" xfId="0" applyNumberFormat="1" applyFont="1" applyBorder="1" applyAlignment="1">
      <alignment/>
    </xf>
    <xf numFmtId="0" fontId="3" fillId="12" borderId="20" xfId="0" applyFont="1" applyFill="1" applyBorder="1" applyAlignment="1">
      <alignment horizontal="center"/>
    </xf>
    <xf numFmtId="43" fontId="3" fillId="0" borderId="0" xfId="42" applyFont="1" applyAlignment="1">
      <alignment/>
    </xf>
    <xf numFmtId="43" fontId="0" fillId="0" borderId="18" xfId="42" applyFont="1" applyBorder="1" applyAlignment="1">
      <alignment/>
    </xf>
    <xf numFmtId="168" fontId="0" fillId="0" borderId="19" xfId="42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8" fontId="3" fillId="0" borderId="0" xfId="42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168" fontId="0" fillId="0" borderId="0" xfId="42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168" fontId="0" fillId="0" borderId="21" xfId="42" applyNumberFormat="1" applyFont="1" applyFill="1" applyBorder="1" applyAlignment="1">
      <alignment/>
    </xf>
    <xf numFmtId="168" fontId="0" fillId="0" borderId="19" xfId="42" applyNumberFormat="1" applyFont="1" applyFill="1" applyBorder="1" applyAlignment="1">
      <alignment/>
    </xf>
    <xf numFmtId="168" fontId="0" fillId="0" borderId="0" xfId="42" applyNumberFormat="1" applyFont="1" applyAlignment="1">
      <alignment/>
    </xf>
    <xf numFmtId="43" fontId="3" fillId="0" borderId="0" xfId="0" applyNumberFormat="1" applyFont="1" applyAlignment="1">
      <alignment/>
    </xf>
    <xf numFmtId="168" fontId="2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9" xfId="0" applyFill="1" applyBorder="1" applyAlignment="1">
      <alignment/>
    </xf>
    <xf numFmtId="171" fontId="3" fillId="0" borderId="0" xfId="44" applyNumberFormat="1" applyFont="1" applyAlignment="1">
      <alignment/>
    </xf>
    <xf numFmtId="171" fontId="0" fillId="0" borderId="0" xfId="0" applyNumberFormat="1" applyAlignment="1">
      <alignment/>
    </xf>
    <xf numFmtId="0" fontId="6" fillId="0" borderId="0" xfId="0" applyFont="1" applyBorder="1" applyAlignment="1">
      <alignment/>
    </xf>
    <xf numFmtId="43" fontId="0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43" fontId="0" fillId="0" borderId="16" xfId="42" applyNumberFormat="1" applyFont="1" applyBorder="1" applyAlignment="1">
      <alignment/>
    </xf>
    <xf numFmtId="43" fontId="3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44" fontId="3" fillId="0" borderId="0" xfId="44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76" fontId="0" fillId="0" borderId="0" xfId="44" applyNumberFormat="1" applyFont="1" applyAlignment="1">
      <alignment/>
    </xf>
    <xf numFmtId="177" fontId="0" fillId="0" borderId="0" xfId="42" applyNumberFormat="1" applyFont="1" applyAlignment="1">
      <alignment/>
    </xf>
    <xf numFmtId="177" fontId="0" fillId="0" borderId="0" xfId="42" applyNumberFormat="1" applyFont="1" applyAlignment="1">
      <alignment horizontal="right"/>
    </xf>
    <xf numFmtId="177" fontId="0" fillId="0" borderId="0" xfId="42" applyNumberFormat="1" applyFont="1" applyBorder="1" applyAlignment="1">
      <alignment/>
    </xf>
    <xf numFmtId="177" fontId="0" fillId="0" borderId="16" xfId="42" applyNumberFormat="1" applyFont="1" applyBorder="1" applyAlignment="1">
      <alignment/>
    </xf>
    <xf numFmtId="43" fontId="0" fillId="0" borderId="19" xfId="42" applyFont="1" applyBorder="1" applyAlignment="1">
      <alignment/>
    </xf>
    <xf numFmtId="0" fontId="2" fillId="0" borderId="0" xfId="0" applyFont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left"/>
    </xf>
    <xf numFmtId="0" fontId="2" fillId="12" borderId="23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715"/>
  <sheetViews>
    <sheetView tabSelected="1" zoomScaleSheetLayoutView="100" zoomScalePageLayoutView="0" workbookViewId="0" topLeftCell="A666">
      <selection activeCell="I694" sqref="I694"/>
    </sheetView>
  </sheetViews>
  <sheetFormatPr defaultColWidth="9.140625" defaultRowHeight="12.75"/>
  <cols>
    <col min="1" max="1" width="45.140625" style="0" customWidth="1"/>
    <col min="2" max="2" width="9.8515625" style="2" customWidth="1"/>
    <col min="3" max="3" width="15.7109375" style="0" bestFit="1" customWidth="1"/>
    <col min="4" max="4" width="2.28125" style="0" customWidth="1"/>
    <col min="5" max="5" width="11.8515625" style="0" bestFit="1" customWidth="1"/>
  </cols>
  <sheetData>
    <row r="3" spans="1:3" ht="15">
      <c r="A3" s="84" t="s">
        <v>6</v>
      </c>
      <c r="B3" s="84"/>
      <c r="C3" s="84"/>
    </row>
    <row r="4" spans="1:3" ht="15">
      <c r="A4" s="84" t="s">
        <v>1109</v>
      </c>
      <c r="B4" s="84"/>
      <c r="C4" s="84"/>
    </row>
    <row r="5" spans="1:2" ht="15.75" thickBot="1">
      <c r="A5" s="3"/>
      <c r="B5" s="3"/>
    </row>
    <row r="6" ht="12.75">
      <c r="C6" s="36" t="s">
        <v>1110</v>
      </c>
    </row>
    <row r="7" ht="13.5" thickBot="1">
      <c r="C7" s="4" t="s">
        <v>1077</v>
      </c>
    </row>
    <row r="9" spans="1:5" ht="20.25">
      <c r="A9" s="89" t="s">
        <v>1078</v>
      </c>
      <c r="B9" s="90"/>
      <c r="C9" s="90"/>
      <c r="E9" s="1" t="s">
        <v>1080</v>
      </c>
    </row>
    <row r="10" spans="1:2" ht="12.75">
      <c r="A10" s="5"/>
      <c r="B10" s="6"/>
    </row>
    <row r="11" spans="1:2" ht="15">
      <c r="A11" s="8" t="s">
        <v>7</v>
      </c>
      <c r="B11" s="6"/>
    </row>
    <row r="12" spans="1:5" ht="12.75">
      <c r="A12" s="5" t="s">
        <v>8</v>
      </c>
      <c r="B12" s="10" t="s">
        <v>9</v>
      </c>
      <c r="C12" s="38">
        <f>5291490*0.75</f>
        <v>3968617.5</v>
      </c>
      <c r="E12" s="1" t="s">
        <v>1081</v>
      </c>
    </row>
    <row r="13" spans="1:3" ht="12.75">
      <c r="A13" s="5" t="s">
        <v>10</v>
      </c>
      <c r="B13" s="10" t="s">
        <v>11</v>
      </c>
      <c r="C13" s="43">
        <v>155000</v>
      </c>
    </row>
    <row r="14" spans="1:3" ht="12.75">
      <c r="A14" s="5" t="s">
        <v>12</v>
      </c>
      <c r="B14" s="10" t="s">
        <v>13</v>
      </c>
      <c r="C14" s="43">
        <v>925000</v>
      </c>
    </row>
    <row r="15" spans="1:3" ht="12.75">
      <c r="A15" s="5" t="s">
        <v>14</v>
      </c>
      <c r="B15" s="10" t="s">
        <v>15</v>
      </c>
      <c r="C15" s="43">
        <v>50000</v>
      </c>
    </row>
    <row r="16" spans="1:3" ht="12.75">
      <c r="A16" s="5" t="s">
        <v>16</v>
      </c>
      <c r="B16" s="10" t="s">
        <v>17</v>
      </c>
      <c r="C16" s="43">
        <v>90000</v>
      </c>
    </row>
    <row r="17" spans="1:3" ht="12.75">
      <c r="A17" s="5" t="s">
        <v>18</v>
      </c>
      <c r="B17" s="10" t="s">
        <v>19</v>
      </c>
      <c r="C17" s="43">
        <f>(48679/8)*12</f>
        <v>73018.5</v>
      </c>
    </row>
    <row r="18" spans="1:3" ht="12.75">
      <c r="A18" s="5" t="s">
        <v>20</v>
      </c>
      <c r="B18" s="10" t="s">
        <v>21</v>
      </c>
      <c r="C18" s="43">
        <v>615000</v>
      </c>
    </row>
    <row r="19" spans="1:3" ht="12.75">
      <c r="A19" s="5" t="s">
        <v>22</v>
      </c>
      <c r="B19" s="10" t="s">
        <v>23</v>
      </c>
      <c r="C19" s="43">
        <v>0</v>
      </c>
    </row>
    <row r="20" spans="1:3" ht="12.75">
      <c r="A20" s="5" t="s">
        <v>24</v>
      </c>
      <c r="B20" s="10" t="s">
        <v>25</v>
      </c>
      <c r="C20" s="43">
        <f>(31712/8)*12</f>
        <v>47568</v>
      </c>
    </row>
    <row r="21" spans="1:3" ht="12.75">
      <c r="A21" s="5" t="s">
        <v>26</v>
      </c>
      <c r="B21" s="10" t="s">
        <v>27</v>
      </c>
      <c r="C21" s="43">
        <v>40000</v>
      </c>
    </row>
    <row r="22" spans="1:3" ht="12.75">
      <c r="A22" s="5" t="s">
        <v>28</v>
      </c>
      <c r="B22" s="10" t="s">
        <v>29</v>
      </c>
      <c r="C22" s="43">
        <v>10000</v>
      </c>
    </row>
    <row r="23" spans="1:3" ht="12.75">
      <c r="A23" s="5" t="s">
        <v>30</v>
      </c>
      <c r="B23" s="10" t="s">
        <v>31</v>
      </c>
      <c r="C23" s="43">
        <v>1250000</v>
      </c>
    </row>
    <row r="24" spans="1:3" ht="12.75">
      <c r="A24" s="5" t="s">
        <v>32</v>
      </c>
      <c r="B24" s="10" t="s">
        <v>33</v>
      </c>
      <c r="C24" s="43">
        <v>7500</v>
      </c>
    </row>
    <row r="25" spans="1:3" ht="12.75">
      <c r="A25" s="5" t="s">
        <v>34</v>
      </c>
      <c r="B25" s="10" t="s">
        <v>35</v>
      </c>
      <c r="C25" s="43">
        <v>961800</v>
      </c>
    </row>
    <row r="26" spans="1:3" ht="12.75">
      <c r="A26" s="5" t="s">
        <v>36</v>
      </c>
      <c r="B26" s="10" t="s">
        <v>37</v>
      </c>
      <c r="C26" s="43">
        <v>10000</v>
      </c>
    </row>
    <row r="27" spans="1:3" ht="12.75">
      <c r="A27" s="5" t="s">
        <v>38</v>
      </c>
      <c r="B27" s="10" t="s">
        <v>39</v>
      </c>
      <c r="C27" s="43">
        <v>1500</v>
      </c>
    </row>
    <row r="28" spans="1:3" s="13" customFormat="1" ht="12.75">
      <c r="A28" s="11" t="s">
        <v>40</v>
      </c>
      <c r="B28" s="12"/>
      <c r="C28" s="40">
        <f>SUM(C12:C27)</f>
        <v>8205004</v>
      </c>
    </row>
    <row r="29" spans="1:3" ht="12.75">
      <c r="A29" s="5"/>
      <c r="B29" s="6"/>
      <c r="C29" s="76"/>
    </row>
    <row r="30" spans="1:3" ht="15">
      <c r="A30" s="8" t="s">
        <v>41</v>
      </c>
      <c r="B30" s="6"/>
      <c r="C30" s="76"/>
    </row>
    <row r="31" spans="1:3" ht="12.75">
      <c r="A31" s="5" t="s">
        <v>42</v>
      </c>
      <c r="B31" s="10" t="s">
        <v>43</v>
      </c>
      <c r="C31" s="38">
        <v>3000</v>
      </c>
    </row>
    <row r="32" spans="1:3" ht="12.75">
      <c r="A32" s="5" t="s">
        <v>44</v>
      </c>
      <c r="B32" s="10" t="s">
        <v>45</v>
      </c>
      <c r="C32" s="43">
        <v>5500</v>
      </c>
    </row>
    <row r="33" spans="1:3" ht="12.75">
      <c r="A33" s="5" t="s">
        <v>46</v>
      </c>
      <c r="B33" s="10" t="s">
        <v>47</v>
      </c>
      <c r="C33" s="43">
        <v>25500</v>
      </c>
    </row>
    <row r="34" spans="1:3" s="13" customFormat="1" ht="12.75">
      <c r="A34" s="11" t="s">
        <v>48</v>
      </c>
      <c r="B34" s="12"/>
      <c r="C34" s="41">
        <f>SUM(C31:C33)</f>
        <v>34000</v>
      </c>
    </row>
    <row r="35" spans="1:3" ht="12.75">
      <c r="A35" s="5"/>
      <c r="B35" s="6"/>
      <c r="C35" s="76"/>
    </row>
    <row r="36" spans="1:3" ht="15">
      <c r="A36" s="8" t="s">
        <v>49</v>
      </c>
      <c r="B36" s="6"/>
      <c r="C36" s="76"/>
    </row>
    <row r="37" spans="1:3" ht="12.75">
      <c r="A37" s="5" t="s">
        <v>50</v>
      </c>
      <c r="B37" s="10" t="s">
        <v>51</v>
      </c>
      <c r="C37" s="38">
        <v>35000</v>
      </c>
    </row>
    <row r="38" spans="1:3" ht="12.75">
      <c r="A38" s="5" t="s">
        <v>52</v>
      </c>
      <c r="B38" s="10" t="s">
        <v>53</v>
      </c>
      <c r="C38" s="43">
        <v>200648</v>
      </c>
    </row>
    <row r="39" spans="1:3" ht="12.75">
      <c r="A39" s="5" t="s">
        <v>54</v>
      </c>
      <c r="B39" s="10" t="s">
        <v>55</v>
      </c>
      <c r="C39" s="43">
        <v>8496</v>
      </c>
    </row>
    <row r="40" spans="1:3" ht="12.75">
      <c r="A40" s="5" t="s">
        <v>56</v>
      </c>
      <c r="B40" s="10" t="s">
        <v>57</v>
      </c>
      <c r="C40" s="43">
        <v>0</v>
      </c>
    </row>
    <row r="41" spans="1:3" ht="12.75">
      <c r="A41" s="5" t="s">
        <v>58</v>
      </c>
      <c r="B41" s="10" t="s">
        <v>59</v>
      </c>
      <c r="C41" s="43">
        <v>891629</v>
      </c>
    </row>
    <row r="42" spans="1:3" ht="12.75">
      <c r="A42" s="5" t="s">
        <v>60</v>
      </c>
      <c r="B42" s="10" t="s">
        <v>61</v>
      </c>
      <c r="C42" s="43">
        <v>0</v>
      </c>
    </row>
    <row r="43" spans="1:3" ht="12.75">
      <c r="A43" s="5" t="s">
        <v>62</v>
      </c>
      <c r="B43" s="10" t="s">
        <v>63</v>
      </c>
      <c r="C43" s="43">
        <v>0</v>
      </c>
    </row>
    <row r="44" spans="1:3" ht="12.75">
      <c r="A44" s="5" t="s">
        <v>64</v>
      </c>
      <c r="B44" s="10" t="s">
        <v>65</v>
      </c>
      <c r="C44" s="43">
        <v>5000</v>
      </c>
    </row>
    <row r="45" spans="1:3" ht="12.75">
      <c r="A45" s="5" t="s">
        <v>66</v>
      </c>
      <c r="B45" s="10" t="s">
        <v>67</v>
      </c>
      <c r="C45" s="43">
        <v>2500</v>
      </c>
    </row>
    <row r="46" spans="1:3" ht="12.75">
      <c r="A46" s="5" t="s">
        <v>68</v>
      </c>
      <c r="B46" s="10" t="s">
        <v>69</v>
      </c>
      <c r="C46" s="43">
        <v>40000</v>
      </c>
    </row>
    <row r="47" spans="1:3" ht="12.75">
      <c r="A47" s="5" t="s">
        <v>70</v>
      </c>
      <c r="B47" s="10" t="s">
        <v>71</v>
      </c>
      <c r="C47" s="43">
        <v>1000</v>
      </c>
    </row>
    <row r="48" spans="1:3" ht="12.75">
      <c r="A48" s="5" t="s">
        <v>72</v>
      </c>
      <c r="B48" s="10" t="s">
        <v>73</v>
      </c>
      <c r="C48" s="43">
        <v>126561</v>
      </c>
    </row>
    <row r="49" spans="1:3" ht="12.75">
      <c r="A49" s="5" t="s">
        <v>74</v>
      </c>
      <c r="B49" s="10" t="s">
        <v>75</v>
      </c>
      <c r="C49" s="43">
        <v>49900</v>
      </c>
    </row>
    <row r="50" spans="1:3" ht="12.75">
      <c r="A50" s="5" t="s">
        <v>76</v>
      </c>
      <c r="B50" s="10" t="s">
        <v>77</v>
      </c>
      <c r="C50" s="43">
        <v>10000</v>
      </c>
    </row>
    <row r="51" spans="1:3" ht="12.75">
      <c r="A51" s="5" t="s">
        <v>78</v>
      </c>
      <c r="B51" s="10" t="s">
        <v>79</v>
      </c>
      <c r="C51" s="43">
        <v>3000</v>
      </c>
    </row>
    <row r="52" spans="1:3" s="13" customFormat="1" ht="12.75">
      <c r="A52" s="11" t="s">
        <v>80</v>
      </c>
      <c r="B52" s="12"/>
      <c r="C52" s="40">
        <f>SUM(C37:C51)</f>
        <v>1373734</v>
      </c>
    </row>
    <row r="53" spans="1:3" ht="12.75">
      <c r="A53" s="5"/>
      <c r="B53" s="6"/>
      <c r="C53" s="76"/>
    </row>
    <row r="54" spans="1:3" s="16" customFormat="1" ht="15">
      <c r="A54" s="8" t="s">
        <v>81</v>
      </c>
      <c r="B54" s="14"/>
      <c r="C54" s="42"/>
    </row>
    <row r="55" spans="1:3" ht="12.75">
      <c r="A55" s="5" t="s">
        <v>82</v>
      </c>
      <c r="B55" s="10" t="s">
        <v>83</v>
      </c>
      <c r="C55" s="38">
        <v>0</v>
      </c>
    </row>
    <row r="56" spans="1:3" ht="12.75">
      <c r="A56" s="5" t="s">
        <v>84</v>
      </c>
      <c r="B56" s="10" t="s">
        <v>85</v>
      </c>
      <c r="C56" s="43">
        <v>0</v>
      </c>
    </row>
    <row r="57" spans="1:3" ht="12.75">
      <c r="A57" s="5" t="s">
        <v>86</v>
      </c>
      <c r="B57" s="10" t="s">
        <v>87</v>
      </c>
      <c r="C57" s="43">
        <v>0</v>
      </c>
    </row>
    <row r="58" spans="1:3" ht="12.75">
      <c r="A58" s="5" t="s">
        <v>88</v>
      </c>
      <c r="B58" s="10" t="s">
        <v>89</v>
      </c>
      <c r="C58" s="43">
        <v>1300000</v>
      </c>
    </row>
    <row r="59" spans="1:3" ht="12.75">
      <c r="A59" s="5" t="s">
        <v>90</v>
      </c>
      <c r="B59" s="10" t="s">
        <v>91</v>
      </c>
      <c r="C59" s="43">
        <f>600*12</f>
        <v>7200</v>
      </c>
    </row>
    <row r="60" spans="1:3" ht="12.75">
      <c r="A60" s="5" t="s">
        <v>92</v>
      </c>
      <c r="B60" s="10" t="s">
        <v>93</v>
      </c>
      <c r="C60" s="43">
        <f>45433/8*(12)</f>
        <v>68149.5</v>
      </c>
    </row>
    <row r="61" spans="1:3" ht="12.75">
      <c r="A61" s="5" t="s">
        <v>94</v>
      </c>
      <c r="B61" s="10" t="s">
        <v>95</v>
      </c>
      <c r="C61" s="43">
        <f>(144585/8)*12</f>
        <v>216877.5</v>
      </c>
    </row>
    <row r="62" spans="1:3" ht="12.75">
      <c r="A62" s="5" t="s">
        <v>96</v>
      </c>
      <c r="B62" s="10" t="s">
        <v>97</v>
      </c>
      <c r="C62" s="43">
        <v>0</v>
      </c>
    </row>
    <row r="63" spans="1:3" ht="12.75">
      <c r="A63" s="5" t="s">
        <v>98</v>
      </c>
      <c r="B63" s="10" t="s">
        <v>99</v>
      </c>
      <c r="C63" s="43">
        <v>0</v>
      </c>
    </row>
    <row r="64" spans="1:3" ht="12.75">
      <c r="A64" s="5" t="s">
        <v>100</v>
      </c>
      <c r="B64" s="10" t="s">
        <v>101</v>
      </c>
      <c r="C64" s="43">
        <f>(1076*3)*12</f>
        <v>38736</v>
      </c>
    </row>
    <row r="65" spans="1:3" ht="12.75">
      <c r="A65" s="5" t="s">
        <v>102</v>
      </c>
      <c r="B65" s="10" t="s">
        <v>103</v>
      </c>
      <c r="C65" s="43">
        <v>112125</v>
      </c>
    </row>
    <row r="66" spans="1:3" ht="12.75">
      <c r="A66" s="5" t="s">
        <v>104</v>
      </c>
      <c r="B66" s="64" t="s">
        <v>105</v>
      </c>
      <c r="C66" s="43">
        <v>25000</v>
      </c>
    </row>
    <row r="67" spans="1:3" ht="12.75">
      <c r="A67" s="56" t="s">
        <v>1105</v>
      </c>
      <c r="B67" s="6"/>
      <c r="C67" s="43">
        <v>7000</v>
      </c>
    </row>
    <row r="68" spans="1:3" ht="12.75">
      <c r="A68" s="56" t="s">
        <v>1111</v>
      </c>
      <c r="B68" s="6"/>
      <c r="C68" s="57">
        <f>36000+26000</f>
        <v>62000</v>
      </c>
    </row>
    <row r="69" spans="1:3" s="13" customFormat="1" ht="12.75">
      <c r="A69" s="11" t="s">
        <v>106</v>
      </c>
      <c r="B69" s="12"/>
      <c r="C69" s="40">
        <f>SUM(C55:C68)</f>
        <v>1837088</v>
      </c>
    </row>
    <row r="70" spans="1:3" ht="12.75">
      <c r="A70" s="5"/>
      <c r="B70" s="6"/>
      <c r="C70" s="76"/>
    </row>
    <row r="71" spans="1:3" s="16" customFormat="1" ht="15">
      <c r="A71" s="8" t="s">
        <v>107</v>
      </c>
      <c r="B71" s="14"/>
      <c r="C71" s="42"/>
    </row>
    <row r="72" spans="1:3" ht="12.75">
      <c r="A72" s="5" t="s">
        <v>108</v>
      </c>
      <c r="B72" s="10" t="s">
        <v>109</v>
      </c>
      <c r="C72" s="38">
        <v>250000</v>
      </c>
    </row>
    <row r="73" spans="1:3" ht="12.75">
      <c r="A73" s="5" t="s">
        <v>110</v>
      </c>
      <c r="B73" s="10" t="s">
        <v>111</v>
      </c>
      <c r="C73" s="43">
        <v>50000</v>
      </c>
    </row>
    <row r="74" spans="1:3" ht="12.75">
      <c r="A74" s="5" t="s">
        <v>112</v>
      </c>
      <c r="B74" s="10" t="s">
        <v>113</v>
      </c>
      <c r="C74" s="43">
        <v>0</v>
      </c>
    </row>
    <row r="75" spans="1:3" ht="12.75">
      <c r="A75" s="5" t="s">
        <v>114</v>
      </c>
      <c r="B75" s="10" t="s">
        <v>115</v>
      </c>
      <c r="C75" s="43">
        <v>130000</v>
      </c>
    </row>
    <row r="76" spans="1:3" ht="12.75">
      <c r="A76" s="5" t="s">
        <v>116</v>
      </c>
      <c r="B76" s="10" t="s">
        <v>117</v>
      </c>
      <c r="C76" s="43">
        <v>50000</v>
      </c>
    </row>
    <row r="77" spans="1:3" ht="12.75">
      <c r="A77" s="5" t="s">
        <v>118</v>
      </c>
      <c r="B77" s="10" t="s">
        <v>119</v>
      </c>
      <c r="C77" s="43">
        <v>45000</v>
      </c>
    </row>
    <row r="78" spans="1:3" s="13" customFormat="1" ht="12.75">
      <c r="A78" s="11" t="s">
        <v>120</v>
      </c>
      <c r="B78" s="12"/>
      <c r="C78" s="40">
        <f>SUM(C72:C77)</f>
        <v>525000</v>
      </c>
    </row>
    <row r="79" spans="1:3" ht="12.75">
      <c r="A79" s="5"/>
      <c r="B79" s="6"/>
      <c r="C79" s="76"/>
    </row>
    <row r="80" spans="1:3" s="1" customFormat="1" ht="15">
      <c r="A80" s="8" t="s">
        <v>121</v>
      </c>
      <c r="B80" s="17"/>
      <c r="C80" s="77"/>
    </row>
    <row r="81" spans="1:3" s="1" customFormat="1" ht="12.75">
      <c r="A81" s="11" t="s">
        <v>122</v>
      </c>
      <c r="B81" s="17"/>
      <c r="C81" s="77">
        <v>0</v>
      </c>
    </row>
    <row r="82" spans="1:3" ht="12.75">
      <c r="A82" s="5"/>
      <c r="B82" s="6"/>
      <c r="C82" s="76"/>
    </row>
    <row r="83" spans="1:3" s="13" customFormat="1" ht="15">
      <c r="A83" s="8" t="s">
        <v>123</v>
      </c>
      <c r="B83" s="12"/>
      <c r="C83" s="41"/>
    </row>
    <row r="84" spans="1:3" ht="12.75">
      <c r="A84" s="5" t="s">
        <v>124</v>
      </c>
      <c r="B84" s="10" t="s">
        <v>125</v>
      </c>
      <c r="C84" s="38">
        <f>(375584/8)*12</f>
        <v>563376</v>
      </c>
    </row>
    <row r="85" spans="1:3" ht="12.75">
      <c r="A85" s="5" t="s">
        <v>126</v>
      </c>
      <c r="B85" s="10" t="s">
        <v>127</v>
      </c>
      <c r="C85" s="43">
        <v>75000</v>
      </c>
    </row>
    <row r="86" spans="1:3" ht="12.75">
      <c r="A86" s="5" t="s">
        <v>128</v>
      </c>
      <c r="B86" s="10" t="s">
        <v>129</v>
      </c>
      <c r="C86" s="43">
        <v>0</v>
      </c>
    </row>
    <row r="87" spans="1:3" ht="12.75">
      <c r="A87" s="5" t="s">
        <v>130</v>
      </c>
      <c r="B87" s="10" t="s">
        <v>131</v>
      </c>
      <c r="C87" s="43"/>
    </row>
    <row r="88" spans="1:3" s="13" customFormat="1" ht="12.75">
      <c r="A88" s="11" t="s">
        <v>132</v>
      </c>
      <c r="B88" s="12"/>
      <c r="C88" s="40">
        <f>SUM(C84:C87)</f>
        <v>638376</v>
      </c>
    </row>
    <row r="89" spans="1:3" ht="13.5" thickBot="1">
      <c r="A89" s="5" t="s">
        <v>133</v>
      </c>
      <c r="B89" s="6"/>
      <c r="C89" s="76"/>
    </row>
    <row r="90" spans="1:3" s="16" customFormat="1" ht="15.75" thickBot="1">
      <c r="A90" s="87" t="s">
        <v>134</v>
      </c>
      <c r="B90" s="88"/>
      <c r="C90" s="42">
        <f>C88+C78+C69+C52+C34+C28</f>
        <v>12613202</v>
      </c>
    </row>
    <row r="91" ht="12.75">
      <c r="A91" t="s">
        <v>1</v>
      </c>
    </row>
    <row r="92" ht="12.75">
      <c r="A92" t="s">
        <v>0</v>
      </c>
    </row>
    <row r="93" spans="1:3" ht="20.25">
      <c r="A93" s="89" t="s">
        <v>1079</v>
      </c>
      <c r="B93" s="90"/>
      <c r="C93" s="90"/>
    </row>
    <row r="94" spans="1:2" ht="12.75">
      <c r="A94" s="5" t="s">
        <v>133</v>
      </c>
      <c r="B94" s="6"/>
    </row>
    <row r="95" spans="1:3" ht="15">
      <c r="A95" s="85" t="s">
        <v>135</v>
      </c>
      <c r="B95" s="86"/>
      <c r="C95" s="86"/>
    </row>
    <row r="96" spans="1:2" ht="12.75">
      <c r="A96" s="5"/>
      <c r="B96" s="6"/>
    </row>
    <row r="97" spans="1:2" ht="15">
      <c r="A97" s="8" t="s">
        <v>2</v>
      </c>
      <c r="B97" s="6"/>
    </row>
    <row r="98" spans="1:3" ht="12.75">
      <c r="A98" s="5" t="s">
        <v>136</v>
      </c>
      <c r="B98" s="10" t="s">
        <v>137</v>
      </c>
      <c r="C98" s="38">
        <v>64801</v>
      </c>
    </row>
    <row r="99" spans="1:3" ht="12.75">
      <c r="A99" s="5" t="s">
        <v>138</v>
      </c>
      <c r="B99" s="10" t="s">
        <v>139</v>
      </c>
      <c r="C99" s="43">
        <f>7202.79*12</f>
        <v>86433.48</v>
      </c>
    </row>
    <row r="100" spans="1:3" ht="12.75">
      <c r="A100" s="5" t="s">
        <v>140</v>
      </c>
      <c r="B100" s="10" t="s">
        <v>141</v>
      </c>
      <c r="C100" s="43">
        <f>C98*0.0765</f>
        <v>4957.2765</v>
      </c>
    </row>
    <row r="101" spans="1:3" ht="12.75">
      <c r="A101" s="5" t="s">
        <v>142</v>
      </c>
      <c r="B101" s="10" t="s">
        <v>143</v>
      </c>
      <c r="C101" s="43">
        <f>51.48*12</f>
        <v>617.76</v>
      </c>
    </row>
    <row r="102" spans="1:3" ht="12.75">
      <c r="A102" s="5" t="s">
        <v>144</v>
      </c>
      <c r="B102" s="10" t="s">
        <v>145</v>
      </c>
      <c r="C102" s="43">
        <v>600</v>
      </c>
    </row>
    <row r="103" spans="1:3" ht="12.75">
      <c r="A103" s="5" t="s">
        <v>146</v>
      </c>
      <c r="B103" s="10" t="s">
        <v>147</v>
      </c>
      <c r="C103" s="43">
        <v>500</v>
      </c>
    </row>
    <row r="104" spans="1:3" ht="12.75">
      <c r="A104" s="5" t="s">
        <v>148</v>
      </c>
      <c r="B104" s="10" t="s">
        <v>149</v>
      </c>
      <c r="C104" s="43">
        <v>3000</v>
      </c>
    </row>
    <row r="105" spans="1:3" ht="12.75">
      <c r="A105" s="5" t="s">
        <v>150</v>
      </c>
      <c r="B105" s="10" t="s">
        <v>151</v>
      </c>
      <c r="C105" s="43">
        <v>1500</v>
      </c>
    </row>
    <row r="106" spans="1:3" ht="12.75">
      <c r="A106" s="5" t="s">
        <v>152</v>
      </c>
      <c r="B106" s="10" t="s">
        <v>153</v>
      </c>
      <c r="C106" s="43">
        <v>3500</v>
      </c>
    </row>
    <row r="107" spans="1:3" ht="12.75">
      <c r="A107" s="5" t="s">
        <v>154</v>
      </c>
      <c r="B107" s="10" t="s">
        <v>155</v>
      </c>
      <c r="C107" s="43">
        <v>1500</v>
      </c>
    </row>
    <row r="108" spans="1:3" s="13" customFormat="1" ht="12.75">
      <c r="A108" s="11" t="s">
        <v>156</v>
      </c>
      <c r="B108" s="12"/>
      <c r="C108" s="40">
        <f>SUM(C98:C107)</f>
        <v>167409.5165</v>
      </c>
    </row>
    <row r="109" spans="1:2" ht="12.75">
      <c r="A109" s="5" t="s">
        <v>133</v>
      </c>
      <c r="B109" s="6"/>
    </row>
    <row r="110" spans="1:2" ht="15">
      <c r="A110" s="8" t="s">
        <v>157</v>
      </c>
      <c r="B110" s="6"/>
    </row>
    <row r="111" spans="1:3" ht="12.75">
      <c r="A111" s="5" t="s">
        <v>158</v>
      </c>
      <c r="B111" s="10" t="s">
        <v>159</v>
      </c>
      <c r="C111" s="38">
        <v>70000</v>
      </c>
    </row>
    <row r="112" spans="1:3" ht="12.75">
      <c r="A112" s="5" t="s">
        <v>160</v>
      </c>
      <c r="B112" s="10" t="s">
        <v>161</v>
      </c>
      <c r="C112" s="43">
        <f>38189+33946+56650+5000</f>
        <v>133785</v>
      </c>
    </row>
    <row r="113" spans="1:3" ht="12.75">
      <c r="A113" s="5" t="s">
        <v>162</v>
      </c>
      <c r="B113" s="10" t="s">
        <v>163</v>
      </c>
      <c r="C113" s="43">
        <f>4601.76*12</f>
        <v>55221.12</v>
      </c>
    </row>
    <row r="114" spans="1:3" ht="12.75">
      <c r="A114" s="5" t="s">
        <v>164</v>
      </c>
      <c r="B114" s="10" t="s">
        <v>165</v>
      </c>
      <c r="C114" s="43">
        <f>(C111+C112)*0.0765</f>
        <v>15589.5525</v>
      </c>
    </row>
    <row r="115" spans="1:3" ht="12.75">
      <c r="A115" s="9" t="s">
        <v>1103</v>
      </c>
      <c r="B115" s="10" t="s">
        <v>166</v>
      </c>
      <c r="C115" s="43">
        <f>(587*12)*1.03</f>
        <v>7255.320000000001</v>
      </c>
    </row>
    <row r="116" spans="1:3" ht="12.75">
      <c r="A116" s="5" t="s">
        <v>167</v>
      </c>
      <c r="B116" s="10" t="s">
        <v>168</v>
      </c>
      <c r="C116" s="43">
        <v>0</v>
      </c>
    </row>
    <row r="117" spans="1:3" ht="12.75">
      <c r="A117" s="5" t="s">
        <v>169</v>
      </c>
      <c r="B117" s="10" t="s">
        <v>170</v>
      </c>
      <c r="C117" s="43">
        <v>500</v>
      </c>
    </row>
    <row r="118" spans="1:3" ht="12.75">
      <c r="A118" s="5" t="s">
        <v>171</v>
      </c>
      <c r="B118" s="10" t="s">
        <v>172</v>
      </c>
      <c r="C118" s="43">
        <v>500</v>
      </c>
    </row>
    <row r="119" spans="1:3" ht="12.75">
      <c r="A119" s="5" t="s">
        <v>173</v>
      </c>
      <c r="B119" s="10" t="s">
        <v>174</v>
      </c>
      <c r="C119" s="43">
        <v>2000</v>
      </c>
    </row>
    <row r="120" spans="1:3" ht="12.75">
      <c r="A120" s="5" t="s">
        <v>175</v>
      </c>
      <c r="B120" s="10" t="s">
        <v>176</v>
      </c>
      <c r="C120" s="43">
        <v>4000</v>
      </c>
    </row>
    <row r="121" spans="1:3" ht="12.75">
      <c r="A121" s="5" t="s">
        <v>177</v>
      </c>
      <c r="B121" s="10" t="s">
        <v>178</v>
      </c>
      <c r="C121" s="43">
        <f>(3436/8)*12</f>
        <v>5154</v>
      </c>
    </row>
    <row r="122" spans="1:3" ht="12.75">
      <c r="A122" s="5" t="s">
        <v>179</v>
      </c>
      <c r="B122" s="10" t="s">
        <v>180</v>
      </c>
      <c r="C122" s="43">
        <v>480</v>
      </c>
    </row>
    <row r="123" spans="1:3" ht="12.75">
      <c r="A123" s="5" t="s">
        <v>181</v>
      </c>
      <c r="B123" s="10" t="s">
        <v>182</v>
      </c>
      <c r="C123" s="43">
        <v>3000</v>
      </c>
    </row>
    <row r="124" spans="1:3" ht="12.75">
      <c r="A124" s="5" t="s">
        <v>183</v>
      </c>
      <c r="B124" s="10" t="s">
        <v>184</v>
      </c>
      <c r="C124" s="43">
        <v>4500</v>
      </c>
    </row>
    <row r="125" spans="1:3" ht="12.75">
      <c r="A125" s="5" t="s">
        <v>185</v>
      </c>
      <c r="B125" s="10" t="s">
        <v>186</v>
      </c>
      <c r="C125" s="43">
        <v>0</v>
      </c>
    </row>
    <row r="126" spans="1:3" ht="12.75">
      <c r="A126" s="5" t="s">
        <v>187</v>
      </c>
      <c r="B126" s="10" t="s">
        <v>188</v>
      </c>
      <c r="C126" s="43">
        <v>4000</v>
      </c>
    </row>
    <row r="127" spans="1:3" ht="12.75">
      <c r="A127" s="5" t="s">
        <v>189</v>
      </c>
      <c r="B127" s="10" t="s">
        <v>190</v>
      </c>
      <c r="C127" s="43">
        <v>3000</v>
      </c>
    </row>
    <row r="128" spans="1:3" ht="12.75">
      <c r="A128" s="5" t="s">
        <v>191</v>
      </c>
      <c r="B128" s="10" t="s">
        <v>192</v>
      </c>
      <c r="C128" s="43">
        <v>1000</v>
      </c>
    </row>
    <row r="129" spans="1:3" ht="12.75">
      <c r="A129" s="5" t="s">
        <v>193</v>
      </c>
      <c r="B129" s="10" t="s">
        <v>194</v>
      </c>
      <c r="C129" s="43">
        <v>0</v>
      </c>
    </row>
    <row r="130" spans="1:3" ht="12.75">
      <c r="A130" s="5" t="s">
        <v>195</v>
      </c>
      <c r="B130" s="10" t="s">
        <v>196</v>
      </c>
      <c r="C130" s="43">
        <v>6000</v>
      </c>
    </row>
    <row r="131" spans="1:3" ht="12.75">
      <c r="A131" s="5" t="s">
        <v>197</v>
      </c>
      <c r="B131" s="10" t="s">
        <v>198</v>
      </c>
      <c r="C131" s="43">
        <v>1000</v>
      </c>
    </row>
    <row r="132" spans="1:3" ht="12.75">
      <c r="A132" s="5" t="s">
        <v>199</v>
      </c>
      <c r="B132" s="10" t="s">
        <v>200</v>
      </c>
      <c r="C132" s="43">
        <v>0</v>
      </c>
    </row>
    <row r="133" spans="1:3" ht="12.75">
      <c r="A133" s="5" t="s">
        <v>201</v>
      </c>
      <c r="B133" s="10" t="s">
        <v>202</v>
      </c>
      <c r="C133" s="43">
        <v>300</v>
      </c>
    </row>
    <row r="134" spans="1:3" ht="12.75">
      <c r="A134" s="5" t="s">
        <v>203</v>
      </c>
      <c r="B134" s="10" t="s">
        <v>204</v>
      </c>
      <c r="C134" s="43">
        <v>0</v>
      </c>
    </row>
    <row r="135" spans="1:3" ht="12.75">
      <c r="A135" s="5" t="s">
        <v>205</v>
      </c>
      <c r="B135" s="10" t="s">
        <v>206</v>
      </c>
      <c r="C135" s="43">
        <v>2500</v>
      </c>
    </row>
    <row r="136" spans="1:3" s="13" customFormat="1" ht="12.75">
      <c r="A136" s="11" t="s">
        <v>207</v>
      </c>
      <c r="B136" s="12"/>
      <c r="C136" s="40">
        <f>SUM(C111:C135)</f>
        <v>319784.9925</v>
      </c>
    </row>
    <row r="137" spans="1:2" ht="12.75">
      <c r="A137" s="5" t="s">
        <v>133</v>
      </c>
      <c r="B137" s="6"/>
    </row>
    <row r="138" spans="1:2" s="16" customFormat="1" ht="15">
      <c r="A138" s="8" t="s">
        <v>208</v>
      </c>
      <c r="B138" s="14"/>
    </row>
    <row r="139" spans="1:3" ht="12.75">
      <c r="A139" s="5" t="s">
        <v>209</v>
      </c>
      <c r="B139" s="10" t="s">
        <v>210</v>
      </c>
      <c r="C139" s="57">
        <v>31200</v>
      </c>
    </row>
    <row r="140" spans="1:3" ht="12.75">
      <c r="A140" s="5" t="s">
        <v>211</v>
      </c>
      <c r="B140" s="10" t="s">
        <v>212</v>
      </c>
      <c r="C140" s="43">
        <f>980.11*12</f>
        <v>11761.32</v>
      </c>
    </row>
    <row r="141" spans="1:3" ht="12.75">
      <c r="A141" s="5" t="s">
        <v>213</v>
      </c>
      <c r="B141" s="10" t="s">
        <v>214</v>
      </c>
      <c r="C141" s="43">
        <f>C139*0.0765</f>
        <v>2386.8</v>
      </c>
    </row>
    <row r="142" spans="1:3" ht="12.75">
      <c r="A142" s="5" t="s">
        <v>215</v>
      </c>
      <c r="B142" s="10" t="s">
        <v>216</v>
      </c>
      <c r="C142" s="43">
        <f>C139*0.04</f>
        <v>1248</v>
      </c>
    </row>
    <row r="143" spans="1:3" ht="12.75">
      <c r="A143" s="5" t="s">
        <v>217</v>
      </c>
      <c r="B143" s="10" t="s">
        <v>218</v>
      </c>
      <c r="C143" s="43">
        <v>3000</v>
      </c>
    </row>
    <row r="144" spans="1:3" ht="12.75">
      <c r="A144" s="5" t="s">
        <v>219</v>
      </c>
      <c r="B144" s="10" t="s">
        <v>220</v>
      </c>
      <c r="C144" s="43">
        <v>18500</v>
      </c>
    </row>
    <row r="145" spans="1:3" ht="12.75">
      <c r="A145" s="5" t="s">
        <v>221</v>
      </c>
      <c r="B145" s="10" t="s">
        <v>222</v>
      </c>
      <c r="C145" s="43">
        <f>(11700/8)*12</f>
        <v>17550</v>
      </c>
    </row>
    <row r="146" spans="1:3" ht="12.75">
      <c r="A146" s="5" t="s">
        <v>223</v>
      </c>
      <c r="B146" s="10" t="s">
        <v>224</v>
      </c>
      <c r="C146" s="43">
        <v>2400</v>
      </c>
    </row>
    <row r="147" spans="1:3" ht="12.75">
      <c r="A147" s="5" t="s">
        <v>225</v>
      </c>
      <c r="B147" s="10" t="s">
        <v>226</v>
      </c>
      <c r="C147" s="43">
        <v>15000</v>
      </c>
    </row>
    <row r="148" spans="1:3" ht="12.75">
      <c r="A148" s="5" t="s">
        <v>227</v>
      </c>
      <c r="B148" s="10" t="s">
        <v>228</v>
      </c>
      <c r="C148" s="43">
        <v>1000</v>
      </c>
    </row>
    <row r="149" spans="1:3" ht="12.75">
      <c r="A149" s="5" t="s">
        <v>229</v>
      </c>
      <c r="B149" s="10" t="s">
        <v>230</v>
      </c>
      <c r="C149" s="43">
        <v>6000</v>
      </c>
    </row>
    <row r="150" spans="1:3" ht="12.75">
      <c r="A150" s="5" t="s">
        <v>231</v>
      </c>
      <c r="B150" s="10" t="s">
        <v>232</v>
      </c>
      <c r="C150" s="43">
        <v>2000</v>
      </c>
    </row>
    <row r="151" spans="1:3" ht="12.75">
      <c r="A151" s="5" t="s">
        <v>233</v>
      </c>
      <c r="B151" s="10" t="s">
        <v>234</v>
      </c>
      <c r="C151" s="43">
        <v>1750</v>
      </c>
    </row>
    <row r="152" spans="1:3" ht="12.75">
      <c r="A152" s="5" t="s">
        <v>235</v>
      </c>
      <c r="B152" s="10" t="s">
        <v>236</v>
      </c>
      <c r="C152" s="43">
        <v>1000</v>
      </c>
    </row>
    <row r="153" spans="1:3" ht="12.75">
      <c r="A153" s="5" t="s">
        <v>237</v>
      </c>
      <c r="B153" s="10" t="s">
        <v>238</v>
      </c>
      <c r="C153" s="43">
        <v>1200</v>
      </c>
    </row>
    <row r="154" spans="1:3" ht="12.75">
      <c r="A154" s="5" t="s">
        <v>239</v>
      </c>
      <c r="B154" s="10" t="s">
        <v>240</v>
      </c>
      <c r="C154" s="43">
        <v>15000</v>
      </c>
    </row>
    <row r="155" spans="1:3" ht="12.75">
      <c r="A155" s="5" t="s">
        <v>241</v>
      </c>
      <c r="B155" s="10" t="s">
        <v>242</v>
      </c>
      <c r="C155" s="43">
        <v>18000</v>
      </c>
    </row>
    <row r="156" spans="1:3" ht="12.75">
      <c r="A156" s="5" t="s">
        <v>243</v>
      </c>
      <c r="B156" s="10" t="s">
        <v>244</v>
      </c>
      <c r="C156" s="43">
        <v>12000</v>
      </c>
    </row>
    <row r="157" spans="1:3" ht="12.75">
      <c r="A157" s="5" t="s">
        <v>245</v>
      </c>
      <c r="B157" s="10" t="s">
        <v>246</v>
      </c>
      <c r="C157" s="43">
        <v>1240</v>
      </c>
    </row>
    <row r="158" spans="1:3" ht="12.75">
      <c r="A158" s="5" t="s">
        <v>247</v>
      </c>
      <c r="B158" s="10" t="s">
        <v>248</v>
      </c>
      <c r="C158" s="43">
        <v>0</v>
      </c>
    </row>
    <row r="159" spans="1:3" ht="12.75">
      <c r="A159" s="5" t="s">
        <v>249</v>
      </c>
      <c r="B159" s="10" t="s">
        <v>250</v>
      </c>
      <c r="C159" s="43">
        <v>4000</v>
      </c>
    </row>
    <row r="160" spans="1:3" ht="12.75">
      <c r="A160" s="5" t="s">
        <v>251</v>
      </c>
      <c r="B160" s="10" t="s">
        <v>252</v>
      </c>
      <c r="C160" s="43">
        <v>350</v>
      </c>
    </row>
    <row r="161" spans="1:3" ht="12.75">
      <c r="A161" s="5" t="s">
        <v>253</v>
      </c>
      <c r="B161" s="10" t="s">
        <v>254</v>
      </c>
      <c r="C161" s="43">
        <v>30000</v>
      </c>
    </row>
    <row r="162" spans="1:3" ht="12.75">
      <c r="A162" s="5" t="s">
        <v>255</v>
      </c>
      <c r="B162" s="10" t="s">
        <v>256</v>
      </c>
      <c r="C162" s="43">
        <v>500</v>
      </c>
    </row>
    <row r="163" spans="1:3" ht="12.75">
      <c r="A163" s="5" t="s">
        <v>257</v>
      </c>
      <c r="B163" s="10" t="s">
        <v>258</v>
      </c>
      <c r="C163" s="43">
        <v>0</v>
      </c>
    </row>
    <row r="164" spans="1:3" ht="12.75">
      <c r="A164" s="5" t="s">
        <v>259</v>
      </c>
      <c r="B164" s="10" t="s">
        <v>260</v>
      </c>
      <c r="C164" s="43">
        <v>0</v>
      </c>
    </row>
    <row r="165" spans="1:3" s="13" customFormat="1" ht="12.75">
      <c r="A165" s="11" t="s">
        <v>261</v>
      </c>
      <c r="B165" s="12"/>
      <c r="C165" s="46">
        <f>SUM(C139:C164)</f>
        <v>197086.12</v>
      </c>
    </row>
    <row r="166" spans="1:2" ht="12.75">
      <c r="A166" s="5" t="s">
        <v>133</v>
      </c>
      <c r="B166" s="6"/>
    </row>
    <row r="167" spans="1:2" s="16" customFormat="1" ht="15">
      <c r="A167" s="8" t="s">
        <v>262</v>
      </c>
      <c r="B167" s="14"/>
    </row>
    <row r="168" spans="1:3" ht="12.75">
      <c r="A168" s="5" t="s">
        <v>263</v>
      </c>
      <c r="B168" s="10" t="s">
        <v>264</v>
      </c>
      <c r="C168">
        <v>1500</v>
      </c>
    </row>
    <row r="169" spans="1:3" ht="12.75">
      <c r="A169" s="5" t="s">
        <v>265</v>
      </c>
      <c r="B169" s="10" t="s">
        <v>266</v>
      </c>
      <c r="C169" s="44">
        <v>2000</v>
      </c>
    </row>
    <row r="170" spans="1:3" ht="12.75">
      <c r="A170" s="5" t="s">
        <v>267</v>
      </c>
      <c r="B170" s="10" t="s">
        <v>268</v>
      </c>
      <c r="C170" s="44">
        <v>54411</v>
      </c>
    </row>
    <row r="171" spans="1:3" ht="12.75">
      <c r="A171" s="56" t="s">
        <v>1106</v>
      </c>
      <c r="B171" s="6"/>
      <c r="C171" s="65">
        <v>15000</v>
      </c>
    </row>
    <row r="172" spans="1:3" s="13" customFormat="1" ht="12.75">
      <c r="A172" s="11" t="s">
        <v>269</v>
      </c>
      <c r="B172" s="12"/>
      <c r="C172" s="55">
        <f>SUM(C168:C171)</f>
        <v>72911</v>
      </c>
    </row>
    <row r="173" spans="1:2" ht="12.75">
      <c r="A173" s="5"/>
      <c r="B173" s="6"/>
    </row>
    <row r="174" spans="1:2" s="16" customFormat="1" ht="15">
      <c r="A174" s="8" t="s">
        <v>270</v>
      </c>
      <c r="B174" s="14"/>
    </row>
    <row r="175" spans="1:3" ht="12.75">
      <c r="A175" s="5" t="s">
        <v>271</v>
      </c>
      <c r="B175" s="20" t="s">
        <v>272</v>
      </c>
      <c r="C175">
        <v>0</v>
      </c>
    </row>
    <row r="176" spans="1:3" ht="12.75">
      <c r="A176" s="5" t="s">
        <v>273</v>
      </c>
      <c r="B176" s="20" t="s">
        <v>274</v>
      </c>
      <c r="C176" s="44">
        <v>500</v>
      </c>
    </row>
    <row r="177" spans="1:3" ht="12.75">
      <c r="A177" s="5" t="s">
        <v>275</v>
      </c>
      <c r="B177" s="20" t="s">
        <v>276</v>
      </c>
      <c r="C177" s="44">
        <v>39500</v>
      </c>
    </row>
    <row r="178" spans="1:3" s="13" customFormat="1" ht="12.75">
      <c r="A178" s="11" t="s">
        <v>277</v>
      </c>
      <c r="B178" s="12"/>
      <c r="C178" s="40">
        <f>SUM(C175:C177)</f>
        <v>40000</v>
      </c>
    </row>
    <row r="179" spans="1:2" ht="12.75">
      <c r="A179" s="5"/>
      <c r="B179" s="6"/>
    </row>
    <row r="180" spans="1:2" s="16" customFormat="1" ht="15">
      <c r="A180" s="8" t="s">
        <v>278</v>
      </c>
      <c r="B180" s="14"/>
    </row>
    <row r="181" spans="1:3" ht="12.75">
      <c r="A181" s="5" t="s">
        <v>279</v>
      </c>
      <c r="B181" s="10" t="s">
        <v>280</v>
      </c>
      <c r="C181">
        <v>53000</v>
      </c>
    </row>
    <row r="182" spans="1:3" ht="12.75">
      <c r="A182" s="5" t="s">
        <v>281</v>
      </c>
      <c r="B182" s="10" t="s">
        <v>282</v>
      </c>
      <c r="C182" s="44">
        <f>932*12</f>
        <v>11184</v>
      </c>
    </row>
    <row r="183" spans="1:3" ht="12.75">
      <c r="A183" s="5" t="s">
        <v>283</v>
      </c>
      <c r="B183" s="10" t="s">
        <v>284</v>
      </c>
      <c r="C183" s="44">
        <f>C181*0.0765</f>
        <v>4054.5</v>
      </c>
    </row>
    <row r="184" spans="1:3" ht="12.75">
      <c r="A184" s="5" t="s">
        <v>285</v>
      </c>
      <c r="B184" s="10" t="s">
        <v>286</v>
      </c>
      <c r="C184" s="44">
        <f>50000*0.04</f>
        <v>2000</v>
      </c>
    </row>
    <row r="185" spans="1:3" ht="12.75">
      <c r="A185" s="5" t="s">
        <v>287</v>
      </c>
      <c r="B185" s="10" t="s">
        <v>288</v>
      </c>
      <c r="C185" s="44">
        <v>0</v>
      </c>
    </row>
    <row r="186" spans="1:3" ht="12.75">
      <c r="A186" s="5" t="s">
        <v>289</v>
      </c>
      <c r="B186" s="10" t="s">
        <v>290</v>
      </c>
      <c r="C186" s="44">
        <v>300</v>
      </c>
    </row>
    <row r="187" spans="1:3" ht="12.75">
      <c r="A187" s="5" t="s">
        <v>291</v>
      </c>
      <c r="B187" s="10" t="s">
        <v>292</v>
      </c>
      <c r="C187" s="44">
        <v>3000</v>
      </c>
    </row>
    <row r="188" spans="1:3" ht="12.75">
      <c r="A188" s="5" t="s">
        <v>293</v>
      </c>
      <c r="B188" s="10" t="s">
        <v>294</v>
      </c>
      <c r="C188" s="44">
        <v>250</v>
      </c>
    </row>
    <row r="189" spans="1:3" ht="12.75">
      <c r="A189" s="5" t="s">
        <v>295</v>
      </c>
      <c r="B189" s="10" t="s">
        <v>296</v>
      </c>
      <c r="C189" s="44">
        <v>500</v>
      </c>
    </row>
    <row r="190" spans="1:3" ht="12.75">
      <c r="A190" s="5" t="s">
        <v>297</v>
      </c>
      <c r="B190" s="10" t="s">
        <v>298</v>
      </c>
      <c r="C190" s="44">
        <v>1000</v>
      </c>
    </row>
    <row r="191" spans="1:3" ht="12.75">
      <c r="A191" s="5" t="s">
        <v>299</v>
      </c>
      <c r="B191" s="10" t="s">
        <v>300</v>
      </c>
      <c r="C191" s="44">
        <v>3250</v>
      </c>
    </row>
    <row r="192" spans="1:3" ht="12.75">
      <c r="A192" s="5" t="s">
        <v>301</v>
      </c>
      <c r="B192" s="10" t="s">
        <v>302</v>
      </c>
      <c r="C192" s="44">
        <v>1000</v>
      </c>
    </row>
    <row r="193" spans="1:3" ht="12.75">
      <c r="A193" s="5" t="s">
        <v>303</v>
      </c>
      <c r="B193" s="10" t="s">
        <v>304</v>
      </c>
      <c r="C193" s="44">
        <v>4680</v>
      </c>
    </row>
    <row r="194" spans="1:3" s="13" customFormat="1" ht="12.75">
      <c r="A194" s="11" t="s">
        <v>305</v>
      </c>
      <c r="B194" s="12"/>
      <c r="C194" s="40">
        <f>SUM(C181:C193)</f>
        <v>84218.5</v>
      </c>
    </row>
    <row r="195" spans="1:2" ht="12.75">
      <c r="A195" s="5" t="s">
        <v>133</v>
      </c>
      <c r="B195" s="6"/>
    </row>
    <row r="196" spans="1:2" s="16" customFormat="1" ht="15">
      <c r="A196" s="8" t="s">
        <v>306</v>
      </c>
      <c r="B196" s="14"/>
    </row>
    <row r="197" spans="1:3" ht="12.75">
      <c r="A197" s="5" t="s">
        <v>307</v>
      </c>
      <c r="B197" s="20" t="s">
        <v>308</v>
      </c>
      <c r="C197" s="57">
        <v>80603</v>
      </c>
    </row>
    <row r="198" spans="1:4" ht="12.75">
      <c r="A198" s="5" t="s">
        <v>309</v>
      </c>
      <c r="B198" s="20" t="s">
        <v>310</v>
      </c>
      <c r="C198" s="43">
        <f>(6973*12)*1.02</f>
        <v>85349.52</v>
      </c>
      <c r="D198" s="45"/>
    </row>
    <row r="199" spans="1:3" ht="12.75">
      <c r="A199" s="5" t="s">
        <v>311</v>
      </c>
      <c r="B199" s="20" t="s">
        <v>312</v>
      </c>
      <c r="C199" s="43">
        <v>30000</v>
      </c>
    </row>
    <row r="200" spans="1:3" ht="12.75">
      <c r="A200" s="5" t="s">
        <v>313</v>
      </c>
      <c r="B200" s="20" t="s">
        <v>314</v>
      </c>
      <c r="C200" s="43">
        <f>(C197+C198)*0.0765</f>
        <v>12695.36778</v>
      </c>
    </row>
    <row r="201" spans="1:3" ht="12.75">
      <c r="A201" s="5" t="s">
        <v>315</v>
      </c>
      <c r="B201" s="20" t="s">
        <v>316</v>
      </c>
      <c r="C201" s="43">
        <f>84.42*12</f>
        <v>1013.04</v>
      </c>
    </row>
    <row r="202" spans="1:3" ht="12.75">
      <c r="A202" s="5" t="s">
        <v>317</v>
      </c>
      <c r="B202" s="20" t="s">
        <v>318</v>
      </c>
      <c r="C202" s="43">
        <v>0</v>
      </c>
    </row>
    <row r="203" spans="1:3" ht="12.75">
      <c r="A203" s="5" t="s">
        <v>319</v>
      </c>
      <c r="B203" s="20" t="s">
        <v>320</v>
      </c>
      <c r="C203" s="43">
        <v>750</v>
      </c>
    </row>
    <row r="204" spans="1:3" ht="12.75">
      <c r="A204" s="5" t="s">
        <v>321</v>
      </c>
      <c r="B204" s="20" t="s">
        <v>322</v>
      </c>
      <c r="C204" s="43">
        <v>100</v>
      </c>
    </row>
    <row r="205" spans="1:3" ht="12.75">
      <c r="A205" s="5" t="s">
        <v>323</v>
      </c>
      <c r="B205" s="20" t="s">
        <v>324</v>
      </c>
      <c r="C205" s="43">
        <v>5000</v>
      </c>
    </row>
    <row r="206" spans="1:3" ht="12.75">
      <c r="A206" s="5" t="s">
        <v>325</v>
      </c>
      <c r="B206" s="20" t="s">
        <v>326</v>
      </c>
      <c r="C206" s="43">
        <v>4000</v>
      </c>
    </row>
    <row r="207" spans="1:3" ht="12.75">
      <c r="A207" s="5" t="s">
        <v>327</v>
      </c>
      <c r="B207" s="20" t="s">
        <v>328</v>
      </c>
      <c r="C207" s="43">
        <v>2000</v>
      </c>
    </row>
    <row r="208" spans="1:3" ht="12.75">
      <c r="A208" s="5" t="s">
        <v>329</v>
      </c>
      <c r="B208" s="20" t="s">
        <v>330</v>
      </c>
      <c r="C208" s="43">
        <v>3000</v>
      </c>
    </row>
    <row r="209" spans="1:3" ht="12.75">
      <c r="A209" s="5" t="s">
        <v>331</v>
      </c>
      <c r="B209" s="20" t="s">
        <v>332</v>
      </c>
      <c r="C209" s="43">
        <v>500</v>
      </c>
    </row>
    <row r="210" spans="1:3" ht="12.75">
      <c r="A210" s="5" t="s">
        <v>333</v>
      </c>
      <c r="B210" s="20" t="s">
        <v>334</v>
      </c>
      <c r="C210" s="43">
        <v>1500</v>
      </c>
    </row>
    <row r="211" spans="1:3" ht="12.75">
      <c r="A211" s="5" t="s">
        <v>335</v>
      </c>
      <c r="B211" s="20" t="s">
        <v>336</v>
      </c>
      <c r="C211" s="43">
        <v>20000</v>
      </c>
    </row>
    <row r="212" spans="1:3" ht="12.75">
      <c r="A212" s="5" t="s">
        <v>337</v>
      </c>
      <c r="B212" s="20" t="s">
        <v>338</v>
      </c>
      <c r="C212" s="43">
        <v>3000</v>
      </c>
    </row>
    <row r="213" spans="1:3" ht="12.75">
      <c r="A213" s="5" t="s">
        <v>339</v>
      </c>
      <c r="B213" s="20" t="s">
        <v>340</v>
      </c>
      <c r="C213" s="43">
        <v>4000</v>
      </c>
    </row>
    <row r="214" spans="1:3" ht="12.75">
      <c r="A214" s="5" t="s">
        <v>341</v>
      </c>
      <c r="B214" s="20" t="s">
        <v>342</v>
      </c>
      <c r="C214" s="43">
        <v>0</v>
      </c>
    </row>
    <row r="215" spans="1:3" s="13" customFormat="1" ht="12.75">
      <c r="A215" s="11" t="s">
        <v>343</v>
      </c>
      <c r="B215" s="12"/>
      <c r="C215" s="40">
        <f>SUM(C197:C214)</f>
        <v>253510.92778000003</v>
      </c>
    </row>
    <row r="216" spans="1:2" ht="12.75">
      <c r="A216" s="5"/>
      <c r="B216" s="6"/>
    </row>
    <row r="217" spans="1:2" s="16" customFormat="1" ht="15">
      <c r="A217" s="8" t="s">
        <v>344</v>
      </c>
      <c r="B217" s="14"/>
    </row>
    <row r="218" spans="1:3" ht="12.75">
      <c r="A218" s="5" t="s">
        <v>345</v>
      </c>
      <c r="B218" s="20" t="s">
        <v>346</v>
      </c>
      <c r="C218" s="38">
        <f>47030*1.02</f>
        <v>47970.6</v>
      </c>
    </row>
    <row r="219" spans="1:3" ht="12.75">
      <c r="A219" s="5" t="s">
        <v>347</v>
      </c>
      <c r="B219" s="20" t="s">
        <v>348</v>
      </c>
      <c r="C219" s="43">
        <f>(8285*12)*1.02</f>
        <v>101408.40000000001</v>
      </c>
    </row>
    <row r="220" spans="1:3" ht="12.75">
      <c r="A220" s="5" t="s">
        <v>349</v>
      </c>
      <c r="B220" s="20" t="s">
        <v>350</v>
      </c>
      <c r="C220" s="43">
        <f>4491.25*12</f>
        <v>53895</v>
      </c>
    </row>
    <row r="221" spans="1:3" ht="12.75">
      <c r="A221" s="5" t="s">
        <v>351</v>
      </c>
      <c r="B221" s="20" t="s">
        <v>352</v>
      </c>
      <c r="C221" s="43">
        <f>(C218+C219)*0.0765</f>
        <v>11427.4935</v>
      </c>
    </row>
    <row r="222" spans="1:3" ht="12.75">
      <c r="A222" s="5" t="s">
        <v>353</v>
      </c>
      <c r="B222" s="20" t="s">
        <v>354</v>
      </c>
      <c r="C222" s="43">
        <f>((144.7+271.4)*12)*1.02</f>
        <v>5093.064</v>
      </c>
    </row>
    <row r="223" spans="1:3" ht="12.75">
      <c r="A223" s="5" t="s">
        <v>355</v>
      </c>
      <c r="B223" s="20" t="s">
        <v>356</v>
      </c>
      <c r="C223" s="43">
        <v>750</v>
      </c>
    </row>
    <row r="224" spans="1:3" ht="12.75">
      <c r="A224" s="5" t="s">
        <v>357</v>
      </c>
      <c r="B224" s="20" t="s">
        <v>358</v>
      </c>
      <c r="C224" s="43">
        <v>70000</v>
      </c>
    </row>
    <row r="225" spans="1:3" ht="12.75">
      <c r="A225" s="5" t="s">
        <v>359</v>
      </c>
      <c r="B225" s="20" t="s">
        <v>360</v>
      </c>
      <c r="C225" s="43">
        <v>10000</v>
      </c>
    </row>
    <row r="226" spans="1:3" ht="12.75">
      <c r="A226" s="5" t="s">
        <v>361</v>
      </c>
      <c r="B226" s="20" t="s">
        <v>362</v>
      </c>
      <c r="C226" s="43">
        <v>0</v>
      </c>
    </row>
    <row r="227" spans="1:3" ht="12.75">
      <c r="A227" s="5" t="s">
        <v>363</v>
      </c>
      <c r="B227" s="20" t="s">
        <v>364</v>
      </c>
      <c r="C227" s="43">
        <v>6000</v>
      </c>
    </row>
    <row r="228" spans="1:3" ht="12.75">
      <c r="A228" s="5" t="s">
        <v>365</v>
      </c>
      <c r="B228" s="20" t="s">
        <v>366</v>
      </c>
      <c r="C228" s="43">
        <v>14000</v>
      </c>
    </row>
    <row r="229" spans="1:3" ht="12.75">
      <c r="A229" s="5" t="s">
        <v>367</v>
      </c>
      <c r="B229" s="20" t="s">
        <v>368</v>
      </c>
      <c r="C229" s="43">
        <v>0</v>
      </c>
    </row>
    <row r="230" spans="1:3" ht="12.75">
      <c r="A230" s="5" t="s">
        <v>369</v>
      </c>
      <c r="B230" s="20" t="s">
        <v>370</v>
      </c>
      <c r="C230" s="43">
        <v>7697</v>
      </c>
    </row>
    <row r="231" spans="1:3" ht="12.75">
      <c r="A231" s="5" t="s">
        <v>371</v>
      </c>
      <c r="B231" s="20" t="s">
        <v>372</v>
      </c>
      <c r="C231" s="43">
        <v>8000</v>
      </c>
    </row>
    <row r="232" spans="1:3" ht="12.75">
      <c r="A232" s="5" t="s">
        <v>373</v>
      </c>
      <c r="B232" s="20" t="s">
        <v>374</v>
      </c>
      <c r="C232" s="43">
        <v>4000</v>
      </c>
    </row>
    <row r="233" spans="1:3" ht="12.75">
      <c r="A233" s="5" t="s">
        <v>375</v>
      </c>
      <c r="B233" s="20" t="s">
        <v>376</v>
      </c>
      <c r="C233" s="43">
        <v>6000</v>
      </c>
    </row>
    <row r="234" spans="1:3" ht="12.75">
      <c r="A234" s="5" t="s">
        <v>377</v>
      </c>
      <c r="B234" s="20" t="s">
        <v>378</v>
      </c>
      <c r="C234" s="43">
        <v>7000</v>
      </c>
    </row>
    <row r="235" spans="1:3" ht="12.75">
      <c r="A235" s="5" t="s">
        <v>379</v>
      </c>
      <c r="B235" s="20" t="s">
        <v>380</v>
      </c>
      <c r="C235" s="43">
        <v>5000</v>
      </c>
    </row>
    <row r="236" spans="1:3" ht="12.75">
      <c r="A236" s="5" t="s">
        <v>381</v>
      </c>
      <c r="B236" s="20" t="s">
        <v>382</v>
      </c>
      <c r="C236" s="43">
        <v>250</v>
      </c>
    </row>
    <row r="237" spans="1:3" ht="12.75">
      <c r="A237" s="5" t="s">
        <v>383</v>
      </c>
      <c r="B237" s="20" t="s">
        <v>384</v>
      </c>
      <c r="C237" s="43">
        <v>0</v>
      </c>
    </row>
    <row r="238" spans="1:3" ht="12.75">
      <c r="A238" s="5" t="s">
        <v>385</v>
      </c>
      <c r="B238" s="20" t="s">
        <v>386</v>
      </c>
      <c r="C238" s="43">
        <v>2500</v>
      </c>
    </row>
    <row r="239" spans="1:3" ht="12.75">
      <c r="A239" s="5" t="s">
        <v>387</v>
      </c>
      <c r="B239" s="20" t="s">
        <v>388</v>
      </c>
      <c r="C239" s="43">
        <v>5500</v>
      </c>
    </row>
    <row r="240" spans="1:3" s="13" customFormat="1" ht="12.75">
      <c r="A240" s="11" t="s">
        <v>389</v>
      </c>
      <c r="B240" s="12"/>
      <c r="C240" s="40">
        <f>SUM(C218:C239)</f>
        <v>366491.5575</v>
      </c>
    </row>
    <row r="241" spans="1:2" ht="12.75">
      <c r="A241" s="5" t="s">
        <v>133</v>
      </c>
      <c r="B241" s="6"/>
    </row>
    <row r="242" spans="1:2" s="16" customFormat="1" ht="15">
      <c r="A242" s="8" t="s">
        <v>390</v>
      </c>
      <c r="B242" s="14"/>
    </row>
    <row r="243" spans="1:3" ht="12.75">
      <c r="A243" s="5" t="s">
        <v>391</v>
      </c>
      <c r="B243" s="20" t="s">
        <v>392</v>
      </c>
      <c r="C243" s="37">
        <v>2000</v>
      </c>
    </row>
    <row r="244" spans="1:3" s="13" customFormat="1" ht="12.75">
      <c r="A244" s="11" t="s">
        <v>393</v>
      </c>
      <c r="B244" s="12"/>
      <c r="C244" s="13">
        <f>SUM(C243)</f>
        <v>2000</v>
      </c>
    </row>
    <row r="245" spans="1:2" ht="13.5" thickBot="1">
      <c r="A245" s="5" t="s">
        <v>133</v>
      </c>
      <c r="B245" s="6"/>
    </row>
    <row r="246" spans="1:3" s="16" customFormat="1" ht="15.75" thickBot="1">
      <c r="A246" s="87" t="s">
        <v>394</v>
      </c>
      <c r="B246" s="88"/>
      <c r="C246" s="42">
        <f>C244+C240+C194+C215+C178+C172+C165+C136+C108</f>
        <v>1503412.6142799999</v>
      </c>
    </row>
    <row r="247" spans="1:2" ht="12.75">
      <c r="A247" s="5" t="s">
        <v>133</v>
      </c>
      <c r="B247" s="6"/>
    </row>
    <row r="248" spans="1:3" ht="15">
      <c r="A248" s="85" t="s">
        <v>395</v>
      </c>
      <c r="B248" s="86"/>
      <c r="C248" s="86"/>
    </row>
    <row r="249" spans="1:2" ht="12.75">
      <c r="A249" s="5"/>
      <c r="B249" s="6"/>
    </row>
    <row r="250" spans="1:2" s="16" customFormat="1" ht="15">
      <c r="A250" s="8" t="s">
        <v>396</v>
      </c>
      <c r="B250" s="14"/>
    </row>
    <row r="251" spans="1:3" ht="12.75">
      <c r="A251" s="5" t="s">
        <v>397</v>
      </c>
      <c r="B251" s="20" t="s">
        <v>398</v>
      </c>
      <c r="C251" s="38">
        <v>13000</v>
      </c>
    </row>
    <row r="252" spans="1:3" ht="12.75">
      <c r="A252" s="5" t="s">
        <v>399</v>
      </c>
      <c r="B252" s="20" t="s">
        <v>400</v>
      </c>
      <c r="C252" s="43">
        <v>0</v>
      </c>
    </row>
    <row r="253" spans="1:3" ht="12.75">
      <c r="A253" s="5" t="s">
        <v>401</v>
      </c>
      <c r="B253" s="20" t="s">
        <v>402</v>
      </c>
      <c r="C253" s="43">
        <f>C251*0.0765</f>
        <v>994.5</v>
      </c>
    </row>
    <row r="254" spans="1:3" ht="12.75">
      <c r="A254" s="5" t="s">
        <v>403</v>
      </c>
      <c r="B254" s="20" t="s">
        <v>404</v>
      </c>
      <c r="C254" s="43">
        <v>2500</v>
      </c>
    </row>
    <row r="255" spans="1:3" ht="12.75">
      <c r="A255" s="5" t="s">
        <v>405</v>
      </c>
      <c r="B255" s="20" t="s">
        <v>406</v>
      </c>
      <c r="C255" s="43">
        <v>0</v>
      </c>
    </row>
    <row r="256" spans="1:3" ht="12.75">
      <c r="A256" s="5" t="s">
        <v>407</v>
      </c>
      <c r="B256" s="20" t="s">
        <v>408</v>
      </c>
      <c r="C256" s="43">
        <v>5000</v>
      </c>
    </row>
    <row r="257" spans="1:3" ht="12.75">
      <c r="A257" s="5" t="s">
        <v>409</v>
      </c>
      <c r="B257" s="20" t="s">
        <v>410</v>
      </c>
      <c r="C257" s="43">
        <v>7200</v>
      </c>
    </row>
    <row r="258" spans="1:3" ht="12.75">
      <c r="A258" s="5" t="s">
        <v>411</v>
      </c>
      <c r="B258" s="20" t="s">
        <v>412</v>
      </c>
      <c r="C258" s="43">
        <v>350</v>
      </c>
    </row>
    <row r="259" spans="1:3" ht="12.75">
      <c r="A259" s="5" t="s">
        <v>413</v>
      </c>
      <c r="B259" s="20" t="s">
        <v>414</v>
      </c>
      <c r="C259" s="43">
        <v>100</v>
      </c>
    </row>
    <row r="260" spans="1:3" ht="12.75">
      <c r="A260" s="5" t="s">
        <v>415</v>
      </c>
      <c r="B260" s="20" t="s">
        <v>416</v>
      </c>
      <c r="C260" s="43">
        <v>0</v>
      </c>
    </row>
    <row r="261" spans="1:3" ht="12.75">
      <c r="A261" s="5" t="s">
        <v>417</v>
      </c>
      <c r="B261" s="20" t="s">
        <v>418</v>
      </c>
      <c r="C261" s="43">
        <f>97039</f>
        <v>97039</v>
      </c>
    </row>
    <row r="262" spans="1:3" ht="12.75">
      <c r="A262" s="5" t="s">
        <v>419</v>
      </c>
      <c r="B262" s="20" t="s">
        <v>420</v>
      </c>
      <c r="C262" s="43">
        <v>103093.41</v>
      </c>
    </row>
    <row r="263" spans="1:3" ht="12.75">
      <c r="A263" s="5" t="s">
        <v>421</v>
      </c>
      <c r="B263" s="20" t="s">
        <v>422</v>
      </c>
      <c r="C263" s="43">
        <v>24466</v>
      </c>
    </row>
    <row r="264" spans="1:3" s="13" customFormat="1" ht="12.75">
      <c r="A264" s="11" t="s">
        <v>423</v>
      </c>
      <c r="B264" s="12"/>
      <c r="C264" s="40">
        <f>SUM(C251:C263)</f>
        <v>253742.91</v>
      </c>
    </row>
    <row r="265" spans="1:2" ht="12.75">
      <c r="A265" s="5"/>
      <c r="B265" s="6"/>
    </row>
    <row r="266" spans="1:2" s="16" customFormat="1" ht="15">
      <c r="A266" s="8" t="s">
        <v>424</v>
      </c>
      <c r="B266" s="14"/>
    </row>
    <row r="267" spans="1:3" ht="12.75">
      <c r="A267" s="5" t="s">
        <v>425</v>
      </c>
      <c r="B267" s="10" t="s">
        <v>426</v>
      </c>
      <c r="C267" s="39">
        <v>58613.55</v>
      </c>
    </row>
    <row r="268" spans="1:3" s="13" customFormat="1" ht="12.75">
      <c r="A268" s="11" t="s">
        <v>427</v>
      </c>
      <c r="B268" s="12"/>
      <c r="C268" s="40">
        <f>SUM(C267)</f>
        <v>58613.55</v>
      </c>
    </row>
    <row r="269" spans="1:2" ht="12.75">
      <c r="A269" s="5"/>
      <c r="B269" s="6"/>
    </row>
    <row r="270" spans="1:2" s="16" customFormat="1" ht="15">
      <c r="A270" s="8" t="s">
        <v>428</v>
      </c>
      <c r="B270" s="14"/>
    </row>
    <row r="271" spans="1:3" ht="12.75">
      <c r="A271" s="5" t="s">
        <v>429</v>
      </c>
      <c r="B271" s="20" t="s">
        <v>430</v>
      </c>
      <c r="C271" s="38">
        <v>98316</v>
      </c>
    </row>
    <row r="272" spans="1:3" ht="12.75">
      <c r="A272" s="5" t="s">
        <v>431</v>
      </c>
      <c r="B272" s="20" t="s">
        <v>432</v>
      </c>
      <c r="C272" s="43">
        <f>93620*1.02</f>
        <v>95492.40000000001</v>
      </c>
    </row>
    <row r="273" spans="1:3" ht="12.75">
      <c r="A273" s="5" t="s">
        <v>433</v>
      </c>
      <c r="B273" s="20" t="s">
        <v>434</v>
      </c>
      <c r="C273" s="43">
        <f>3851*12</f>
        <v>46212</v>
      </c>
    </row>
    <row r="274" spans="1:3" ht="12.75">
      <c r="A274" s="5" t="s">
        <v>435</v>
      </c>
      <c r="B274" s="20" t="s">
        <v>436</v>
      </c>
      <c r="C274" s="43">
        <f>(C271+C272)*0.0765</f>
        <v>14826.342600000002</v>
      </c>
    </row>
    <row r="275" spans="1:3" ht="12.75">
      <c r="A275" s="5" t="s">
        <v>437</v>
      </c>
      <c r="B275" s="20" t="s">
        <v>438</v>
      </c>
      <c r="C275" s="43">
        <f>C272*0.04</f>
        <v>3819.6960000000004</v>
      </c>
    </row>
    <row r="276" spans="1:3" ht="12.75">
      <c r="A276" s="5" t="s">
        <v>439</v>
      </c>
      <c r="B276" s="20" t="s">
        <v>440</v>
      </c>
      <c r="C276" s="43">
        <v>500</v>
      </c>
    </row>
    <row r="277" spans="1:3" ht="12.75">
      <c r="A277" s="5" t="s">
        <v>441</v>
      </c>
      <c r="B277" s="20" t="s">
        <v>442</v>
      </c>
      <c r="C277" s="43">
        <v>6500</v>
      </c>
    </row>
    <row r="278" spans="1:3" ht="12.75">
      <c r="A278" s="5" t="s">
        <v>443</v>
      </c>
      <c r="B278" s="20" t="s">
        <v>444</v>
      </c>
      <c r="C278" s="43">
        <v>5000</v>
      </c>
    </row>
    <row r="279" spans="1:3" ht="12.75">
      <c r="A279" s="5" t="s">
        <v>445</v>
      </c>
      <c r="B279" s="20" t="s">
        <v>446</v>
      </c>
      <c r="C279" s="43">
        <v>3500</v>
      </c>
    </row>
    <row r="280" spans="1:3" ht="12.75">
      <c r="A280" s="5" t="s">
        <v>447</v>
      </c>
      <c r="B280" s="20" t="s">
        <v>448</v>
      </c>
      <c r="C280" s="43">
        <v>0</v>
      </c>
    </row>
    <row r="281" spans="1:3" ht="12.75">
      <c r="A281" s="5" t="s">
        <v>449</v>
      </c>
      <c r="B281" s="20" t="s">
        <v>450</v>
      </c>
      <c r="C281" s="43">
        <v>6000</v>
      </c>
    </row>
    <row r="282" spans="1:3" ht="12.75">
      <c r="A282" s="5" t="s">
        <v>451</v>
      </c>
      <c r="B282" s="20" t="s">
        <v>452</v>
      </c>
      <c r="C282" s="43">
        <v>5300</v>
      </c>
    </row>
    <row r="283" spans="1:3" ht="12.75">
      <c r="A283" s="5" t="s">
        <v>453</v>
      </c>
      <c r="B283" s="20" t="s">
        <v>454</v>
      </c>
      <c r="C283" s="43">
        <v>2500</v>
      </c>
    </row>
    <row r="284" spans="1:3" ht="12.75">
      <c r="A284" s="5" t="s">
        <v>455</v>
      </c>
      <c r="B284" s="20" t="s">
        <v>456</v>
      </c>
      <c r="C284" s="43">
        <v>1000</v>
      </c>
    </row>
    <row r="285" spans="1:3" ht="12.75">
      <c r="A285" s="5" t="s">
        <v>457</v>
      </c>
      <c r="B285" s="20" t="s">
        <v>458</v>
      </c>
      <c r="C285" s="43">
        <v>500</v>
      </c>
    </row>
    <row r="286" spans="1:3" ht="12.75">
      <c r="A286" s="5" t="s">
        <v>459</v>
      </c>
      <c r="B286" s="20" t="s">
        <v>460</v>
      </c>
      <c r="C286" s="43">
        <v>2000</v>
      </c>
    </row>
    <row r="287" spans="1:3" ht="12.75">
      <c r="A287" s="5" t="s">
        <v>461</v>
      </c>
      <c r="B287" s="20" t="s">
        <v>462</v>
      </c>
      <c r="C287" s="43">
        <v>2000</v>
      </c>
    </row>
    <row r="288" spans="1:3" ht="12.75">
      <c r="A288" s="5" t="s">
        <v>463</v>
      </c>
      <c r="B288" s="20" t="s">
        <v>464</v>
      </c>
      <c r="C288" s="43">
        <v>3000</v>
      </c>
    </row>
    <row r="289" spans="1:3" ht="12.75">
      <c r="A289" s="5" t="s">
        <v>465</v>
      </c>
      <c r="B289" s="20" t="s">
        <v>466</v>
      </c>
      <c r="C289" s="43">
        <v>500</v>
      </c>
    </row>
    <row r="290" spans="1:3" s="13" customFormat="1" ht="12.75">
      <c r="A290" s="11" t="s">
        <v>467</v>
      </c>
      <c r="B290" s="12"/>
      <c r="C290" s="40">
        <f>SUM(C271:C289)</f>
        <v>296966.4386</v>
      </c>
    </row>
    <row r="291" spans="1:2" ht="12.75">
      <c r="A291" s="5" t="s">
        <v>133</v>
      </c>
      <c r="B291" s="6"/>
    </row>
    <row r="292" spans="1:2" s="16" customFormat="1" ht="15">
      <c r="A292" s="8" t="s">
        <v>468</v>
      </c>
      <c r="B292" s="14"/>
    </row>
    <row r="293" spans="1:3" ht="12.75">
      <c r="A293" s="5" t="s">
        <v>469</v>
      </c>
      <c r="B293" s="20" t="s">
        <v>470</v>
      </c>
      <c r="C293" s="43">
        <v>67335.6</v>
      </c>
    </row>
    <row r="294" spans="1:4" ht="12.75">
      <c r="A294" s="5" t="s">
        <v>471</v>
      </c>
      <c r="B294" s="20" t="s">
        <v>472</v>
      </c>
      <c r="C294" s="43">
        <v>40209.31</v>
      </c>
      <c r="D294" s="45"/>
    </row>
    <row r="295" spans="1:3" ht="12.75">
      <c r="A295" s="5" t="s">
        <v>473</v>
      </c>
      <c r="B295" s="20" t="s">
        <v>474</v>
      </c>
      <c r="C295" s="43">
        <f>35680*1.02</f>
        <v>36393.6</v>
      </c>
    </row>
    <row r="296" spans="1:3" ht="12.75">
      <c r="A296" s="5" t="s">
        <v>475</v>
      </c>
      <c r="B296" s="20" t="s">
        <v>476</v>
      </c>
      <c r="C296" s="43">
        <v>0</v>
      </c>
    </row>
    <row r="297" spans="1:3" ht="12.75">
      <c r="A297" s="5" t="s">
        <v>477</v>
      </c>
      <c r="B297" s="20" t="s">
        <v>478</v>
      </c>
      <c r="C297" s="43">
        <f>1960.22*12</f>
        <v>23522.64</v>
      </c>
    </row>
    <row r="298" spans="1:3" ht="12.75">
      <c r="A298" s="5" t="s">
        <v>479</v>
      </c>
      <c r="B298" s="20" t="s">
        <v>480</v>
      </c>
      <c r="C298" s="43">
        <f>(C293+C294+C295)*0.075</f>
        <v>10795.38825</v>
      </c>
    </row>
    <row r="299" spans="1:3" ht="12.75">
      <c r="A299" s="5" t="s">
        <v>481</v>
      </c>
      <c r="B299" s="20" t="s">
        <v>482</v>
      </c>
      <c r="C299" s="43">
        <f>(122.5+121.5)*12</f>
        <v>2928</v>
      </c>
    </row>
    <row r="300" spans="1:3" ht="12.75">
      <c r="A300" s="5" t="s">
        <v>483</v>
      </c>
      <c r="B300" s="20" t="s">
        <v>484</v>
      </c>
      <c r="C300" s="43">
        <v>200</v>
      </c>
    </row>
    <row r="301" spans="1:3" ht="12.75">
      <c r="A301" s="5" t="s">
        <v>485</v>
      </c>
      <c r="B301" s="20" t="s">
        <v>486</v>
      </c>
      <c r="C301" s="43">
        <v>2500</v>
      </c>
    </row>
    <row r="302" spans="1:3" ht="12.75">
      <c r="A302" s="5" t="s">
        <v>487</v>
      </c>
      <c r="B302" s="20" t="s">
        <v>488</v>
      </c>
      <c r="C302" s="43">
        <v>0</v>
      </c>
    </row>
    <row r="303" spans="1:3" ht="12.75">
      <c r="A303" s="5" t="s">
        <v>489</v>
      </c>
      <c r="B303" s="20" t="s">
        <v>490</v>
      </c>
      <c r="C303" s="43">
        <v>8000</v>
      </c>
    </row>
    <row r="304" spans="1:3" ht="12.75">
      <c r="A304" s="5" t="s">
        <v>491</v>
      </c>
      <c r="B304" s="20" t="s">
        <v>492</v>
      </c>
      <c r="C304" s="43">
        <v>0</v>
      </c>
    </row>
    <row r="305" spans="1:3" ht="12.75">
      <c r="A305" s="5" t="s">
        <v>493</v>
      </c>
      <c r="B305" s="20" t="s">
        <v>494</v>
      </c>
      <c r="C305" s="43">
        <f>(3524/8)*12</f>
        <v>5286</v>
      </c>
    </row>
    <row r="306" spans="1:3" ht="12.75">
      <c r="A306" s="5" t="s">
        <v>495</v>
      </c>
      <c r="B306" s="20" t="s">
        <v>496</v>
      </c>
      <c r="C306" s="43">
        <v>750</v>
      </c>
    </row>
    <row r="307" spans="1:3" ht="12.75">
      <c r="A307" s="5" t="s">
        <v>497</v>
      </c>
      <c r="B307" s="20" t="s">
        <v>498</v>
      </c>
      <c r="C307" s="43">
        <v>3500</v>
      </c>
    </row>
    <row r="308" spans="1:3" ht="12.75">
      <c r="A308" s="5" t="s">
        <v>499</v>
      </c>
      <c r="B308" s="20" t="s">
        <v>500</v>
      </c>
      <c r="C308" s="43">
        <v>2500</v>
      </c>
    </row>
    <row r="309" spans="1:3" ht="12.75">
      <c r="A309" s="5" t="s">
        <v>501</v>
      </c>
      <c r="B309" s="20" t="s">
        <v>502</v>
      </c>
      <c r="C309" s="43">
        <v>0</v>
      </c>
    </row>
    <row r="310" spans="1:3" ht="12.75">
      <c r="A310" s="5" t="s">
        <v>503</v>
      </c>
      <c r="B310" s="20" t="s">
        <v>504</v>
      </c>
      <c r="C310" s="43">
        <v>2000</v>
      </c>
    </row>
    <row r="311" spans="1:3" ht="12.75">
      <c r="A311" s="5" t="s">
        <v>505</v>
      </c>
      <c r="B311" s="20" t="s">
        <v>506</v>
      </c>
      <c r="C311" s="53">
        <v>0</v>
      </c>
    </row>
    <row r="312" spans="1:3" s="13" customFormat="1" ht="12.75">
      <c r="A312" s="11" t="s">
        <v>507</v>
      </c>
      <c r="B312" s="12"/>
      <c r="C312" s="47">
        <f>SUM(C293:C311)</f>
        <v>205920.53825</v>
      </c>
    </row>
    <row r="313" spans="1:2" ht="12.75">
      <c r="A313" s="5"/>
      <c r="B313" s="6"/>
    </row>
    <row r="314" spans="1:2" s="16" customFormat="1" ht="15">
      <c r="A314" s="8" t="s">
        <v>508</v>
      </c>
      <c r="B314" s="14"/>
    </row>
    <row r="315" spans="1:3" ht="12.75">
      <c r="A315" s="5" t="s">
        <v>509</v>
      </c>
      <c r="B315" s="20" t="s">
        <v>510</v>
      </c>
      <c r="C315" s="43">
        <v>79664</v>
      </c>
    </row>
    <row r="316" spans="1:4" ht="12.75">
      <c r="A316" s="5" t="s">
        <v>511</v>
      </c>
      <c r="B316" s="20" t="s">
        <v>512</v>
      </c>
      <c r="C316" s="43">
        <v>69185.38</v>
      </c>
      <c r="D316" s="45">
        <v>0.02</v>
      </c>
    </row>
    <row r="317" spans="1:3" ht="12.75">
      <c r="A317" s="5" t="s">
        <v>513</v>
      </c>
      <c r="B317" s="20" t="s">
        <v>514</v>
      </c>
      <c r="C317" s="43">
        <f>(1890.22*12)</f>
        <v>22682.64</v>
      </c>
    </row>
    <row r="318" spans="1:3" ht="12.75">
      <c r="A318" s="5" t="s">
        <v>515</v>
      </c>
      <c r="B318" s="20" t="s">
        <v>516</v>
      </c>
      <c r="C318" s="43">
        <f>(C315+C317)*0.075</f>
        <v>7675.998</v>
      </c>
    </row>
    <row r="319" spans="1:3" ht="12.75">
      <c r="A319" s="5" t="s">
        <v>517</v>
      </c>
      <c r="B319" s="20" t="s">
        <v>518</v>
      </c>
      <c r="C319" s="43">
        <f>165*12</f>
        <v>1980</v>
      </c>
    </row>
    <row r="320" spans="1:3" ht="12.75">
      <c r="A320" s="5" t="s">
        <v>519</v>
      </c>
      <c r="B320" s="20" t="s">
        <v>520</v>
      </c>
      <c r="C320" s="43">
        <v>0</v>
      </c>
    </row>
    <row r="321" spans="1:3" ht="12.75">
      <c r="A321" s="5" t="s">
        <v>521</v>
      </c>
      <c r="B321" s="20" t="s">
        <v>522</v>
      </c>
      <c r="C321" s="43">
        <v>1000</v>
      </c>
    </row>
    <row r="322" spans="1:3" ht="12.75">
      <c r="A322" s="5" t="s">
        <v>523</v>
      </c>
      <c r="B322" s="20" t="s">
        <v>524</v>
      </c>
      <c r="C322" s="43">
        <v>1000</v>
      </c>
    </row>
    <row r="323" spans="1:3" ht="12.75">
      <c r="A323" s="5" t="s">
        <v>525</v>
      </c>
      <c r="B323" s="20" t="s">
        <v>526</v>
      </c>
      <c r="C323" s="43">
        <v>1750</v>
      </c>
    </row>
    <row r="324" spans="1:3" ht="12.75">
      <c r="A324" s="5" t="s">
        <v>527</v>
      </c>
      <c r="B324" s="20" t="s">
        <v>528</v>
      </c>
      <c r="C324" s="43">
        <v>2000</v>
      </c>
    </row>
    <row r="325" spans="1:3" ht="12.75">
      <c r="A325" s="5" t="s">
        <v>529</v>
      </c>
      <c r="B325" s="20" t="s">
        <v>530</v>
      </c>
      <c r="C325" s="43">
        <v>100</v>
      </c>
    </row>
    <row r="326" spans="1:3" ht="12.75">
      <c r="A326" s="5" t="s">
        <v>531</v>
      </c>
      <c r="B326" s="20" t="s">
        <v>532</v>
      </c>
      <c r="C326" s="43">
        <v>4500</v>
      </c>
    </row>
    <row r="327" spans="1:3" ht="12.75">
      <c r="A327" s="5" t="s">
        <v>533</v>
      </c>
      <c r="B327" s="20" t="s">
        <v>534</v>
      </c>
      <c r="C327" s="43">
        <v>1000</v>
      </c>
    </row>
    <row r="328" spans="1:3" ht="12.75">
      <c r="A328" s="5" t="s">
        <v>535</v>
      </c>
      <c r="B328" s="20" t="s">
        <v>536</v>
      </c>
      <c r="C328" s="43">
        <v>750</v>
      </c>
    </row>
    <row r="329" spans="1:3" ht="12.75">
      <c r="A329" s="5" t="s">
        <v>537</v>
      </c>
      <c r="B329" s="20" t="s">
        <v>538</v>
      </c>
      <c r="C329" s="43">
        <v>500</v>
      </c>
    </row>
    <row r="330" spans="1:3" ht="12.75">
      <c r="A330" s="5" t="s">
        <v>539</v>
      </c>
      <c r="B330" s="20" t="s">
        <v>540</v>
      </c>
      <c r="C330" s="43">
        <v>1000</v>
      </c>
    </row>
    <row r="331" spans="1:3" ht="12.75">
      <c r="A331" s="5" t="s">
        <v>541</v>
      </c>
      <c r="B331" s="20" t="s">
        <v>542</v>
      </c>
      <c r="C331" s="43">
        <v>3500</v>
      </c>
    </row>
    <row r="332" spans="1:3" ht="12.75">
      <c r="A332" s="5" t="s">
        <v>543</v>
      </c>
      <c r="B332" s="20" t="s">
        <v>544</v>
      </c>
      <c r="C332" s="43">
        <v>3500</v>
      </c>
    </row>
    <row r="333" spans="1:3" ht="12.75">
      <c r="A333" s="5" t="s">
        <v>545</v>
      </c>
      <c r="B333" s="20" t="s">
        <v>546</v>
      </c>
      <c r="C333" s="43">
        <v>4000</v>
      </c>
    </row>
    <row r="334" spans="1:3" ht="12.75">
      <c r="A334" s="5" t="s">
        <v>547</v>
      </c>
      <c r="B334" s="20" t="s">
        <v>548</v>
      </c>
      <c r="C334" s="43">
        <v>2500</v>
      </c>
    </row>
    <row r="335" spans="1:3" s="13" customFormat="1" ht="12.75">
      <c r="A335" s="11" t="s">
        <v>549</v>
      </c>
      <c r="B335" s="12"/>
      <c r="C335" s="40">
        <f>SUM(C315:C334)</f>
        <v>208288.018</v>
      </c>
    </row>
    <row r="336" spans="1:2" ht="13.5" thickBot="1">
      <c r="A336" s="5" t="s">
        <v>133</v>
      </c>
      <c r="B336" s="6"/>
    </row>
    <row r="337" spans="1:3" s="16" customFormat="1" ht="15.75" thickBot="1">
      <c r="A337" s="87" t="s">
        <v>550</v>
      </c>
      <c r="B337" s="88"/>
      <c r="C337" s="42">
        <f>C335+C312+C290+C264+C268</f>
        <v>1023531.4548500001</v>
      </c>
    </row>
    <row r="338" spans="1:2" ht="12.75">
      <c r="A338" s="5" t="s">
        <v>133</v>
      </c>
      <c r="B338" s="6"/>
    </row>
    <row r="339" spans="1:3" ht="15">
      <c r="A339" s="85" t="s">
        <v>551</v>
      </c>
      <c r="B339" s="86"/>
      <c r="C339" s="86"/>
    </row>
    <row r="340" spans="1:2" ht="12.75">
      <c r="A340" s="5"/>
      <c r="B340" s="6"/>
    </row>
    <row r="341" spans="1:2" ht="15">
      <c r="A341" s="8" t="s">
        <v>552</v>
      </c>
      <c r="B341" s="6"/>
    </row>
    <row r="342" spans="1:3" ht="12.75">
      <c r="A342" s="5" t="s">
        <v>553</v>
      </c>
      <c r="B342" s="20" t="s">
        <v>554</v>
      </c>
      <c r="C342" s="38">
        <v>81892</v>
      </c>
    </row>
    <row r="343" spans="1:3" ht="12.75">
      <c r="A343" s="5" t="s">
        <v>555</v>
      </c>
      <c r="B343" s="20" t="s">
        <v>556</v>
      </c>
      <c r="C343" s="43">
        <v>31824</v>
      </c>
    </row>
    <row r="344" spans="1:3" ht="12.75">
      <c r="A344" s="5" t="s">
        <v>557</v>
      </c>
      <c r="B344" s="20" t="s">
        <v>558</v>
      </c>
      <c r="C344" s="43">
        <f>(1090000*1.04)</f>
        <v>1133600</v>
      </c>
    </row>
    <row r="345" spans="1:3" ht="12.75">
      <c r="A345" s="5" t="s">
        <v>559</v>
      </c>
      <c r="B345" s="20" t="s">
        <v>560</v>
      </c>
      <c r="C345" s="43">
        <f>16751*12</f>
        <v>201012</v>
      </c>
    </row>
    <row r="346" spans="1:3" ht="12.75">
      <c r="A346" s="5" t="s">
        <v>561</v>
      </c>
      <c r="B346" s="20" t="s">
        <v>562</v>
      </c>
      <c r="C346" s="43">
        <v>95419.78</v>
      </c>
    </row>
    <row r="347" spans="1:3" ht="12.75">
      <c r="A347" s="5" t="s">
        <v>563</v>
      </c>
      <c r="B347" s="20" t="s">
        <v>564</v>
      </c>
      <c r="C347" s="43">
        <f>1990*12</f>
        <v>23880</v>
      </c>
    </row>
    <row r="348" spans="1:3" ht="12.75">
      <c r="A348" s="5" t="s">
        <v>565</v>
      </c>
      <c r="B348" s="20" t="s">
        <v>566</v>
      </c>
      <c r="C348" s="43">
        <v>30000</v>
      </c>
    </row>
    <row r="349" spans="1:3" ht="12.75">
      <c r="A349" s="5" t="s">
        <v>567</v>
      </c>
      <c r="B349" s="20" t="s">
        <v>568</v>
      </c>
      <c r="C349" s="43">
        <v>8000</v>
      </c>
    </row>
    <row r="350" spans="1:3" ht="12.75">
      <c r="A350" s="5" t="s">
        <v>569</v>
      </c>
      <c r="B350" s="20" t="s">
        <v>570</v>
      </c>
      <c r="C350" s="43">
        <v>500</v>
      </c>
    </row>
    <row r="351" spans="1:3" ht="12.75">
      <c r="A351" s="5" t="s">
        <v>571</v>
      </c>
      <c r="B351" s="20" t="s">
        <v>572</v>
      </c>
      <c r="C351" s="43">
        <v>3800</v>
      </c>
    </row>
    <row r="352" spans="1:3" ht="12.75">
      <c r="A352" s="5" t="s">
        <v>573</v>
      </c>
      <c r="B352" s="20" t="s">
        <v>574</v>
      </c>
      <c r="C352" s="43">
        <v>7500</v>
      </c>
    </row>
    <row r="353" spans="1:3" ht="12.75">
      <c r="A353" s="5" t="s">
        <v>575</v>
      </c>
      <c r="B353" s="20" t="s">
        <v>576</v>
      </c>
      <c r="C353" s="43">
        <v>12000</v>
      </c>
    </row>
    <row r="354" spans="1:3" ht="12.75">
      <c r="A354" s="5" t="s">
        <v>577</v>
      </c>
      <c r="B354" s="20" t="s">
        <v>578</v>
      </c>
      <c r="C354" s="43">
        <v>0</v>
      </c>
    </row>
    <row r="355" spans="1:3" ht="12.75">
      <c r="A355" s="5" t="s">
        <v>579</v>
      </c>
      <c r="B355" s="20" t="s">
        <v>580</v>
      </c>
      <c r="C355" s="43">
        <v>50000</v>
      </c>
    </row>
    <row r="356" spans="1:3" ht="12.75">
      <c r="A356" s="5" t="s">
        <v>581</v>
      </c>
      <c r="B356" s="20" t="s">
        <v>582</v>
      </c>
      <c r="C356" s="43">
        <v>45000</v>
      </c>
    </row>
    <row r="357" spans="1:3" ht="12.75">
      <c r="A357" s="9" t="s">
        <v>1108</v>
      </c>
      <c r="B357" s="20" t="s">
        <v>583</v>
      </c>
      <c r="C357" s="43">
        <v>7500</v>
      </c>
    </row>
    <row r="358" spans="1:3" ht="12.75">
      <c r="A358" s="9" t="s">
        <v>1107</v>
      </c>
      <c r="B358" s="20" t="s">
        <v>584</v>
      </c>
      <c r="C358" s="43">
        <v>18500</v>
      </c>
    </row>
    <row r="359" spans="1:3" ht="12.75">
      <c r="A359" s="5" t="s">
        <v>585</v>
      </c>
      <c r="B359" s="20" t="s">
        <v>586</v>
      </c>
      <c r="C359" s="43">
        <v>1000</v>
      </c>
    </row>
    <row r="360" spans="1:3" ht="12.75">
      <c r="A360" s="5" t="s">
        <v>587</v>
      </c>
      <c r="B360" s="20" t="s">
        <v>588</v>
      </c>
      <c r="C360" s="43">
        <v>750</v>
      </c>
    </row>
    <row r="361" spans="1:3" ht="12.75">
      <c r="A361" s="5" t="s">
        <v>589</v>
      </c>
      <c r="B361" s="20" t="s">
        <v>590</v>
      </c>
      <c r="C361" s="43">
        <v>2500</v>
      </c>
    </row>
    <row r="362" spans="1:3" ht="12.75">
      <c r="A362" s="5" t="s">
        <v>591</v>
      </c>
      <c r="B362" s="20" t="s">
        <v>592</v>
      </c>
      <c r="C362" s="43">
        <v>3000</v>
      </c>
    </row>
    <row r="363" spans="1:3" ht="12.75">
      <c r="A363" s="5" t="s">
        <v>593</v>
      </c>
      <c r="B363" s="20" t="s">
        <v>594</v>
      </c>
      <c r="C363" s="43">
        <v>2750</v>
      </c>
    </row>
    <row r="364" spans="1:3" ht="12.75">
      <c r="A364" s="5" t="s">
        <v>595</v>
      </c>
      <c r="B364" s="20" t="s">
        <v>596</v>
      </c>
      <c r="C364" s="43">
        <v>3000</v>
      </c>
    </row>
    <row r="365" spans="1:3" ht="12.75">
      <c r="A365" s="5" t="s">
        <v>597</v>
      </c>
      <c r="B365" s="20" t="s">
        <v>598</v>
      </c>
      <c r="C365" s="43">
        <v>7000</v>
      </c>
    </row>
    <row r="366" spans="1:3" ht="12.75">
      <c r="A366" s="5" t="s">
        <v>599</v>
      </c>
      <c r="B366" s="20" t="s">
        <v>600</v>
      </c>
      <c r="C366" s="43">
        <v>7500</v>
      </c>
    </row>
    <row r="367" spans="1:3" ht="12.75">
      <c r="A367" s="5" t="s">
        <v>601</v>
      </c>
      <c r="B367" s="20" t="s">
        <v>602</v>
      </c>
      <c r="C367" s="43">
        <v>100624</v>
      </c>
    </row>
    <row r="368" spans="1:3" ht="12.75">
      <c r="A368" s="5" t="s">
        <v>603</v>
      </c>
      <c r="B368" s="20" t="s">
        <v>604</v>
      </c>
      <c r="C368" s="43">
        <v>2000</v>
      </c>
    </row>
    <row r="369" spans="1:3" ht="12.75">
      <c r="A369" s="5" t="s">
        <v>605</v>
      </c>
      <c r="B369" s="20" t="s">
        <v>606</v>
      </c>
      <c r="C369" s="43">
        <v>1500</v>
      </c>
    </row>
    <row r="370" spans="1:3" ht="12.75">
      <c r="A370" s="5" t="s">
        <v>607</v>
      </c>
      <c r="B370" s="20" t="s">
        <v>608</v>
      </c>
      <c r="C370" s="43">
        <v>150</v>
      </c>
    </row>
    <row r="371" spans="1:3" ht="12.75">
      <c r="A371" s="5" t="s">
        <v>609</v>
      </c>
      <c r="B371" s="20" t="s">
        <v>610</v>
      </c>
      <c r="C371" s="43">
        <v>3000</v>
      </c>
    </row>
    <row r="372" spans="1:3" ht="12.75">
      <c r="A372" s="5" t="s">
        <v>611</v>
      </c>
      <c r="B372" s="20" t="s">
        <v>612</v>
      </c>
      <c r="C372" s="43">
        <v>79808</v>
      </c>
    </row>
    <row r="373" spans="1:3" ht="12.75">
      <c r="A373" s="5" t="s">
        <v>613</v>
      </c>
      <c r="B373" s="20" t="s">
        <v>614</v>
      </c>
      <c r="C373" s="43">
        <v>2000</v>
      </c>
    </row>
    <row r="374" spans="1:3" ht="12.75">
      <c r="A374" s="5" t="s">
        <v>615</v>
      </c>
      <c r="B374" s="20" t="s">
        <v>616</v>
      </c>
      <c r="C374" s="43">
        <v>0</v>
      </c>
    </row>
    <row r="375" spans="1:3" ht="12.75">
      <c r="A375" s="5" t="s">
        <v>617</v>
      </c>
      <c r="B375" s="20" t="s">
        <v>618</v>
      </c>
      <c r="C375" s="43">
        <v>22214</v>
      </c>
    </row>
    <row r="376" spans="1:3" s="13" customFormat="1" ht="12.75">
      <c r="A376" s="11" t="s">
        <v>619</v>
      </c>
      <c r="B376" s="12"/>
      <c r="C376" s="40">
        <f>SUM(C342:C375)</f>
        <v>1989223.78</v>
      </c>
    </row>
    <row r="377" spans="1:2" s="13" customFormat="1" ht="12.75">
      <c r="A377" s="11"/>
      <c r="B377" s="12"/>
    </row>
    <row r="378" spans="1:2" s="13" customFormat="1" ht="15">
      <c r="A378" s="8" t="s">
        <v>620</v>
      </c>
      <c r="B378" s="12"/>
    </row>
    <row r="379" spans="1:3" s="1" customFormat="1" ht="12.75">
      <c r="A379" s="9" t="s">
        <v>621</v>
      </c>
      <c r="B379" s="20" t="s">
        <v>622</v>
      </c>
      <c r="C379" s="61">
        <f>740000*1.02</f>
        <v>754800</v>
      </c>
    </row>
    <row r="380" spans="1:3" s="1" customFormat="1" ht="12.75">
      <c r="A380" s="9" t="s">
        <v>623</v>
      </c>
      <c r="B380" s="20" t="s">
        <v>624</v>
      </c>
      <c r="C380" s="53">
        <v>46800</v>
      </c>
    </row>
    <row r="381" spans="1:3" s="1" customFormat="1" ht="12.75">
      <c r="A381" s="9" t="s">
        <v>625</v>
      </c>
      <c r="B381" s="20" t="s">
        <v>626</v>
      </c>
      <c r="C381" s="53">
        <f>17391.55*12</f>
        <v>208698.59999999998</v>
      </c>
    </row>
    <row r="382" spans="1:3" s="1" customFormat="1" ht="12.75">
      <c r="A382" s="9" t="s">
        <v>627</v>
      </c>
      <c r="B382" s="20" t="s">
        <v>628</v>
      </c>
      <c r="C382" s="53">
        <f>(C379+C380)*0.0765</f>
        <v>61322.4</v>
      </c>
    </row>
    <row r="383" spans="1:3" s="1" customFormat="1" ht="12.75">
      <c r="A383" s="9" t="s">
        <v>629</v>
      </c>
      <c r="B383" s="20" t="s">
        <v>630</v>
      </c>
      <c r="C383" s="53">
        <f>1838*12</f>
        <v>22056</v>
      </c>
    </row>
    <row r="384" spans="1:3" s="1" customFormat="1" ht="12.75">
      <c r="A384" s="9" t="s">
        <v>631</v>
      </c>
      <c r="B384" s="20" t="s">
        <v>632</v>
      </c>
      <c r="C384" s="53">
        <v>250</v>
      </c>
    </row>
    <row r="385" spans="1:3" s="1" customFormat="1" ht="12.75">
      <c r="A385" s="9" t="s">
        <v>633</v>
      </c>
      <c r="B385" s="20" t="s">
        <v>634</v>
      </c>
      <c r="C385" s="53">
        <v>33000</v>
      </c>
    </row>
    <row r="386" spans="1:3" s="1" customFormat="1" ht="12.75">
      <c r="A386" s="9" t="s">
        <v>635</v>
      </c>
      <c r="B386" s="20" t="s">
        <v>636</v>
      </c>
      <c r="C386" s="53">
        <v>1500</v>
      </c>
    </row>
    <row r="387" spans="1:3" s="1" customFormat="1" ht="12.75">
      <c r="A387" s="9" t="s">
        <v>637</v>
      </c>
      <c r="B387" s="20" t="s">
        <v>638</v>
      </c>
      <c r="C387" s="53">
        <v>1500</v>
      </c>
    </row>
    <row r="388" spans="1:3" s="1" customFormat="1" ht="12.75">
      <c r="A388" s="9" t="s">
        <v>639</v>
      </c>
      <c r="B388" s="20" t="s">
        <v>640</v>
      </c>
      <c r="C388" s="53">
        <v>500</v>
      </c>
    </row>
    <row r="389" spans="1:3" s="1" customFormat="1" ht="12.75">
      <c r="A389" s="9" t="s">
        <v>641</v>
      </c>
      <c r="B389" s="20" t="s">
        <v>642</v>
      </c>
      <c r="C389" s="53">
        <v>500</v>
      </c>
    </row>
    <row r="390" spans="1:3" s="1" customFormat="1" ht="12.75">
      <c r="A390" s="9" t="s">
        <v>643</v>
      </c>
      <c r="B390" s="20" t="s">
        <v>644</v>
      </c>
      <c r="C390" s="53">
        <v>25000</v>
      </c>
    </row>
    <row r="391" spans="1:3" s="1" customFormat="1" ht="12.75">
      <c r="A391" s="9" t="s">
        <v>645</v>
      </c>
      <c r="B391" s="20" t="s">
        <v>646</v>
      </c>
      <c r="C391" s="53">
        <v>12000</v>
      </c>
    </row>
    <row r="392" spans="1:3" s="1" customFormat="1" ht="12.75">
      <c r="A392" s="9" t="s">
        <v>647</v>
      </c>
      <c r="B392" s="20" t="s">
        <v>648</v>
      </c>
      <c r="C392" s="53">
        <v>5000</v>
      </c>
    </row>
    <row r="393" spans="1:3" s="1" customFormat="1" ht="12.75">
      <c r="A393" s="9" t="s">
        <v>649</v>
      </c>
      <c r="B393" s="20" t="s">
        <v>650</v>
      </c>
      <c r="C393" s="53">
        <v>500</v>
      </c>
    </row>
    <row r="394" spans="1:3" s="1" customFormat="1" ht="12.75">
      <c r="A394" s="9" t="s">
        <v>651</v>
      </c>
      <c r="B394" s="20" t="s">
        <v>652</v>
      </c>
      <c r="C394" s="53">
        <v>2500</v>
      </c>
    </row>
    <row r="395" spans="1:3" s="1" customFormat="1" ht="12.75">
      <c r="A395" s="9" t="s">
        <v>653</v>
      </c>
      <c r="B395" s="20" t="s">
        <v>654</v>
      </c>
      <c r="C395" s="53">
        <v>750</v>
      </c>
    </row>
    <row r="396" spans="1:3" s="1" customFormat="1" ht="12.75">
      <c r="A396" s="9" t="s">
        <v>655</v>
      </c>
      <c r="B396" s="20" t="s">
        <v>656</v>
      </c>
      <c r="C396" s="53">
        <v>318000</v>
      </c>
    </row>
    <row r="397" spans="1:3" s="1" customFormat="1" ht="12.75">
      <c r="A397" s="9" t="s">
        <v>657</v>
      </c>
      <c r="B397" s="20" t="s">
        <v>658</v>
      </c>
      <c r="C397" s="53">
        <v>1500</v>
      </c>
    </row>
    <row r="398" spans="1:3" s="1" customFormat="1" ht="12.75">
      <c r="A398" s="9" t="s">
        <v>659</v>
      </c>
      <c r="B398" s="20" t="s">
        <v>660</v>
      </c>
      <c r="C398" s="53">
        <v>15000</v>
      </c>
    </row>
    <row r="399" spans="1:3" s="1" customFormat="1" ht="12.75">
      <c r="A399" s="9" t="s">
        <v>661</v>
      </c>
      <c r="B399" s="20" t="s">
        <v>662</v>
      </c>
      <c r="C399" s="53">
        <v>500</v>
      </c>
    </row>
    <row r="400" spans="1:3" s="1" customFormat="1" ht="12.75">
      <c r="A400" s="9" t="s">
        <v>663</v>
      </c>
      <c r="B400" s="20" t="s">
        <v>664</v>
      </c>
      <c r="C400" s="53">
        <v>2000</v>
      </c>
    </row>
    <row r="401" spans="1:3" s="1" customFormat="1" ht="12.75">
      <c r="A401" s="9" t="s">
        <v>665</v>
      </c>
      <c r="B401" s="20" t="s">
        <v>666</v>
      </c>
      <c r="C401" s="53">
        <f>(62354/8)*12</f>
        <v>93531</v>
      </c>
    </row>
    <row r="402" spans="1:3" s="1" customFormat="1" ht="12.75">
      <c r="A402" s="9" t="s">
        <v>667</v>
      </c>
      <c r="B402" s="20" t="s">
        <v>668</v>
      </c>
      <c r="C402" s="53">
        <v>200000</v>
      </c>
    </row>
    <row r="403" spans="1:3" s="13" customFormat="1" ht="12.75">
      <c r="A403" s="11" t="s">
        <v>669</v>
      </c>
      <c r="B403" s="12"/>
      <c r="C403" s="40">
        <f>SUM(C379:C402)</f>
        <v>1807208</v>
      </c>
    </row>
    <row r="404" spans="1:2" ht="12.75">
      <c r="A404" s="5" t="s">
        <v>133</v>
      </c>
      <c r="B404" s="6"/>
    </row>
    <row r="405" spans="1:2" s="16" customFormat="1" ht="15" hidden="1">
      <c r="A405" s="8" t="s">
        <v>3</v>
      </c>
      <c r="B405" s="14"/>
    </row>
    <row r="406" spans="1:2" s="13" customFormat="1" ht="12.75" hidden="1">
      <c r="A406" s="11" t="s">
        <v>4</v>
      </c>
      <c r="B406" s="12"/>
    </row>
    <row r="407" spans="1:2" ht="12.75" hidden="1">
      <c r="A407" s="5"/>
      <c r="B407" s="6"/>
    </row>
    <row r="408" spans="1:2" s="13" customFormat="1" ht="15">
      <c r="A408" s="8" t="s">
        <v>670</v>
      </c>
      <c r="B408" s="12"/>
    </row>
    <row r="409" spans="1:3" ht="12.75">
      <c r="A409" s="5" t="s">
        <v>671</v>
      </c>
      <c r="B409" s="20" t="s">
        <v>672</v>
      </c>
      <c r="C409" s="38">
        <v>24510.34</v>
      </c>
    </row>
    <row r="410" spans="1:3" ht="12.75">
      <c r="A410" s="5" t="s">
        <v>673</v>
      </c>
      <c r="B410" s="20" t="s">
        <v>674</v>
      </c>
      <c r="C410" s="43">
        <f>1779.71*12</f>
        <v>21356.52</v>
      </c>
    </row>
    <row r="411" spans="1:3" ht="12.75">
      <c r="A411" s="5" t="s">
        <v>675</v>
      </c>
      <c r="B411" s="20" t="s">
        <v>676</v>
      </c>
      <c r="C411" s="43">
        <f>10510.34*0.0765</f>
        <v>804.04101</v>
      </c>
    </row>
    <row r="412" spans="1:3" ht="12.75">
      <c r="A412" s="5" t="s">
        <v>677</v>
      </c>
      <c r="B412" s="20" t="s">
        <v>678</v>
      </c>
      <c r="C412" s="43">
        <v>500</v>
      </c>
    </row>
    <row r="413" spans="1:3" ht="12.75">
      <c r="A413" s="5" t="s">
        <v>679</v>
      </c>
      <c r="B413" s="20" t="s">
        <v>680</v>
      </c>
      <c r="C413" s="43">
        <f>8*175</f>
        <v>1400</v>
      </c>
    </row>
    <row r="414" spans="1:3" ht="12.75">
      <c r="A414" s="5" t="s">
        <v>681</v>
      </c>
      <c r="B414" s="20" t="s">
        <v>682</v>
      </c>
      <c r="C414" s="43">
        <v>650</v>
      </c>
    </row>
    <row r="415" spans="1:3" ht="12.75">
      <c r="A415" s="5" t="s">
        <v>683</v>
      </c>
      <c r="B415" s="20" t="s">
        <v>684</v>
      </c>
      <c r="C415" s="43">
        <v>0</v>
      </c>
    </row>
    <row r="416" spans="1:3" ht="12.75">
      <c r="A416" s="5" t="s">
        <v>685</v>
      </c>
      <c r="B416" s="20" t="s">
        <v>686</v>
      </c>
      <c r="C416" s="43">
        <v>1300</v>
      </c>
    </row>
    <row r="417" spans="1:3" ht="12.75">
      <c r="A417" s="5" t="s">
        <v>687</v>
      </c>
      <c r="B417" s="20" t="s">
        <v>688</v>
      </c>
      <c r="C417" s="43">
        <v>4500</v>
      </c>
    </row>
    <row r="418" spans="1:3" ht="12.75">
      <c r="A418" s="5" t="s">
        <v>689</v>
      </c>
      <c r="B418" s="20" t="s">
        <v>690</v>
      </c>
      <c r="C418" s="43">
        <v>225</v>
      </c>
    </row>
    <row r="419" spans="1:3" ht="12.75">
      <c r="A419" s="5" t="s">
        <v>691</v>
      </c>
      <c r="B419" s="20">
        <v>33640523900</v>
      </c>
      <c r="C419" s="43">
        <v>6500</v>
      </c>
    </row>
    <row r="420" spans="1:3" ht="12.75">
      <c r="A420" s="5" t="s">
        <v>692</v>
      </c>
      <c r="B420" s="20" t="s">
        <v>693</v>
      </c>
      <c r="C420" s="43">
        <v>500</v>
      </c>
    </row>
    <row r="421" spans="1:3" ht="12.75">
      <c r="A421" s="5" t="s">
        <v>694</v>
      </c>
      <c r="B421" s="20" t="s">
        <v>695</v>
      </c>
      <c r="C421" s="43">
        <v>250</v>
      </c>
    </row>
    <row r="422" spans="1:3" s="13" customFormat="1" ht="12.75">
      <c r="A422" s="11" t="s">
        <v>696</v>
      </c>
      <c r="B422" s="12"/>
      <c r="C422" s="51">
        <f>SUM(C409:C421)</f>
        <v>62495.90101</v>
      </c>
    </row>
    <row r="423" spans="1:2" ht="12.75">
      <c r="A423" s="5" t="s">
        <v>133</v>
      </c>
      <c r="B423" s="6"/>
    </row>
    <row r="424" spans="1:2" s="16" customFormat="1" ht="15">
      <c r="A424" s="8" t="s">
        <v>697</v>
      </c>
      <c r="B424" s="14"/>
    </row>
    <row r="425" spans="1:3" ht="12.75">
      <c r="A425" s="5" t="s">
        <v>698</v>
      </c>
      <c r="B425" s="20" t="s">
        <v>699</v>
      </c>
      <c r="C425" s="38">
        <v>406101</v>
      </c>
    </row>
    <row r="426" spans="1:3" ht="12.75">
      <c r="A426" s="5" t="s">
        <v>700</v>
      </c>
      <c r="B426" s="20" t="s">
        <v>701</v>
      </c>
      <c r="C426" s="43">
        <v>61000</v>
      </c>
    </row>
    <row r="427" spans="1:3" ht="12.75">
      <c r="A427" s="5" t="s">
        <v>702</v>
      </c>
      <c r="B427" s="20" t="s">
        <v>703</v>
      </c>
      <c r="C427" s="43">
        <f>C425*0.075</f>
        <v>30457.574999999997</v>
      </c>
    </row>
    <row r="428" spans="1:3" ht="12.75">
      <c r="A428" s="5" t="s">
        <v>704</v>
      </c>
      <c r="B428" s="20" t="s">
        <v>705</v>
      </c>
      <c r="C428" s="43">
        <v>15000</v>
      </c>
    </row>
    <row r="429" spans="1:3" ht="12.75">
      <c r="A429" s="5" t="s">
        <v>706</v>
      </c>
      <c r="B429" s="20" t="s">
        <v>707</v>
      </c>
      <c r="C429" s="43">
        <v>3000</v>
      </c>
    </row>
    <row r="430" spans="1:3" ht="12.75">
      <c r="A430" s="5" t="s">
        <v>708</v>
      </c>
      <c r="B430" s="20" t="s">
        <v>709</v>
      </c>
      <c r="C430" s="43">
        <v>500</v>
      </c>
    </row>
    <row r="431" spans="1:3" ht="12.75">
      <c r="A431" s="5" t="s">
        <v>710</v>
      </c>
      <c r="B431" s="20" t="s">
        <v>711</v>
      </c>
      <c r="C431" s="43">
        <v>250</v>
      </c>
    </row>
    <row r="432" spans="1:3" ht="12.75">
      <c r="A432" s="5" t="s">
        <v>712</v>
      </c>
      <c r="B432" s="20" t="s">
        <v>713</v>
      </c>
      <c r="C432" s="43">
        <v>0</v>
      </c>
    </row>
    <row r="433" spans="1:3" ht="12.75">
      <c r="A433" s="5" t="s">
        <v>714</v>
      </c>
      <c r="B433" s="20" t="s">
        <v>715</v>
      </c>
      <c r="C433" s="43">
        <v>1600</v>
      </c>
    </row>
    <row r="434" spans="1:3" ht="12.75">
      <c r="A434" s="5" t="s">
        <v>716</v>
      </c>
      <c r="B434" s="20" t="s">
        <v>717</v>
      </c>
      <c r="C434" s="43">
        <v>8000</v>
      </c>
    </row>
    <row r="435" spans="1:3" ht="12.75">
      <c r="A435" s="5" t="s">
        <v>718</v>
      </c>
      <c r="B435" s="20" t="s">
        <v>719</v>
      </c>
      <c r="C435" s="43">
        <v>100</v>
      </c>
    </row>
    <row r="436" spans="1:3" ht="12.75">
      <c r="A436" s="5" t="s">
        <v>720</v>
      </c>
      <c r="B436" s="20" t="s">
        <v>721</v>
      </c>
      <c r="C436" s="43">
        <v>0</v>
      </c>
    </row>
    <row r="437" spans="1:3" ht="12.75">
      <c r="A437" s="5" t="s">
        <v>722</v>
      </c>
      <c r="B437" s="20" t="s">
        <v>723</v>
      </c>
      <c r="C437" s="43">
        <v>1000</v>
      </c>
    </row>
    <row r="438" spans="1:3" ht="12.75">
      <c r="A438" s="5" t="s">
        <v>724</v>
      </c>
      <c r="B438" s="20" t="s">
        <v>725</v>
      </c>
      <c r="C438" s="43">
        <v>60000</v>
      </c>
    </row>
    <row r="439" spans="1:3" ht="12.75">
      <c r="A439" s="5" t="s">
        <v>726</v>
      </c>
      <c r="B439" s="20" t="s">
        <v>727</v>
      </c>
      <c r="C439" s="43">
        <v>250</v>
      </c>
    </row>
    <row r="440" spans="1:3" ht="12.75">
      <c r="A440" s="5" t="s">
        <v>728</v>
      </c>
      <c r="B440" s="20" t="s">
        <v>729</v>
      </c>
      <c r="C440" s="43">
        <v>3000</v>
      </c>
    </row>
    <row r="441" spans="1:3" ht="12.75">
      <c r="A441" s="5" t="s">
        <v>730</v>
      </c>
      <c r="B441" s="20" t="s">
        <v>731</v>
      </c>
      <c r="C441" s="43">
        <v>0</v>
      </c>
    </row>
    <row r="442" spans="1:3" ht="12.75">
      <c r="A442" s="5" t="s">
        <v>732</v>
      </c>
      <c r="B442" s="20" t="s">
        <v>733</v>
      </c>
      <c r="C442" s="43">
        <v>3000</v>
      </c>
    </row>
    <row r="443" spans="1:3" ht="12.75">
      <c r="A443" s="5" t="s">
        <v>734</v>
      </c>
      <c r="B443" s="20" t="s">
        <v>735</v>
      </c>
      <c r="C443" s="43">
        <v>1000</v>
      </c>
    </row>
    <row r="444" spans="1:3" ht="12.75">
      <c r="A444" s="5" t="s">
        <v>736</v>
      </c>
      <c r="B444" s="20" t="s">
        <v>737</v>
      </c>
      <c r="C444" s="43">
        <v>4000</v>
      </c>
    </row>
    <row r="445" spans="1:3" ht="12.75">
      <c r="A445" s="5" t="s">
        <v>738</v>
      </c>
      <c r="B445" s="20" t="s">
        <v>739</v>
      </c>
      <c r="C445" s="43">
        <v>900</v>
      </c>
    </row>
    <row r="446" spans="1:3" ht="12.75">
      <c r="A446" s="5" t="s">
        <v>740</v>
      </c>
      <c r="B446" s="20" t="s">
        <v>741</v>
      </c>
      <c r="C446" s="43">
        <v>9820</v>
      </c>
    </row>
    <row r="447" spans="1:3" ht="12.75">
      <c r="A447" s="5" t="s">
        <v>742</v>
      </c>
      <c r="B447" s="20" t="s">
        <v>743</v>
      </c>
      <c r="C447" s="43">
        <v>900</v>
      </c>
    </row>
    <row r="448" spans="1:3" ht="12.75">
      <c r="A448" s="5" t="s">
        <v>744</v>
      </c>
      <c r="B448" s="20" t="s">
        <v>745</v>
      </c>
      <c r="C448" s="43">
        <v>1000</v>
      </c>
    </row>
    <row r="449" spans="1:3" ht="12.75">
      <c r="A449" s="5" t="s">
        <v>746</v>
      </c>
      <c r="B449" s="20" t="s">
        <v>747</v>
      </c>
      <c r="C449" s="43">
        <v>2000</v>
      </c>
    </row>
    <row r="450" spans="1:4" s="13" customFormat="1" ht="12.75">
      <c r="A450" s="11" t="s">
        <v>748</v>
      </c>
      <c r="B450" s="12"/>
      <c r="C450" s="40">
        <f>SUM(C425:C449)</f>
        <v>612878.575</v>
      </c>
      <c r="D450" s="41"/>
    </row>
    <row r="451" spans="1:2" ht="12.75">
      <c r="A451" s="5" t="s">
        <v>133</v>
      </c>
      <c r="B451" s="6"/>
    </row>
    <row r="452" spans="1:2" s="16" customFormat="1" ht="15">
      <c r="A452" s="8" t="s">
        <v>749</v>
      </c>
      <c r="B452" s="14"/>
    </row>
    <row r="453" spans="1:3" ht="12.75">
      <c r="A453" s="5" t="s">
        <v>750</v>
      </c>
      <c r="B453" s="20" t="s">
        <v>751</v>
      </c>
      <c r="C453" s="38">
        <v>1200000</v>
      </c>
    </row>
    <row r="454" spans="1:3" ht="12.75">
      <c r="A454" s="5" t="s">
        <v>752</v>
      </c>
      <c r="B454" s="20" t="s">
        <v>753</v>
      </c>
      <c r="C454" s="43">
        <f>12917*12</f>
        <v>155004</v>
      </c>
    </row>
    <row r="455" spans="1:3" ht="12.75">
      <c r="A455" s="5" t="s">
        <v>754</v>
      </c>
      <c r="B455" s="20" t="s">
        <v>755</v>
      </c>
      <c r="C455" s="43">
        <f>C453*0.0765</f>
        <v>91800</v>
      </c>
    </row>
    <row r="456" spans="1:3" ht="12.75">
      <c r="A456" s="5" t="s">
        <v>756</v>
      </c>
      <c r="B456" s="20" t="s">
        <v>757</v>
      </c>
      <c r="C456" s="43">
        <f>C453*0.04</f>
        <v>48000</v>
      </c>
    </row>
    <row r="457" spans="1:3" ht="12.75">
      <c r="A457" s="5" t="s">
        <v>758</v>
      </c>
      <c r="B457" s="20" t="s">
        <v>759</v>
      </c>
      <c r="C457" s="43">
        <v>0</v>
      </c>
    </row>
    <row r="458" spans="1:3" ht="12.75">
      <c r="A458" s="5" t="s">
        <v>760</v>
      </c>
      <c r="B458" s="20" t="s">
        <v>761</v>
      </c>
      <c r="C458" s="43">
        <v>30000</v>
      </c>
    </row>
    <row r="459" spans="1:3" ht="12.75">
      <c r="A459" s="5" t="s">
        <v>762</v>
      </c>
      <c r="B459" s="20" t="s">
        <v>763</v>
      </c>
      <c r="C459" s="43">
        <v>0</v>
      </c>
    </row>
    <row r="460" spans="1:3" ht="12.75">
      <c r="A460" s="5" t="s">
        <v>764</v>
      </c>
      <c r="B460" s="20" t="s">
        <v>765</v>
      </c>
      <c r="C460" s="43">
        <v>500</v>
      </c>
    </row>
    <row r="461" spans="1:3" ht="12.75">
      <c r="A461" s="5" t="s">
        <v>766</v>
      </c>
      <c r="B461" s="20" t="s">
        <v>767</v>
      </c>
      <c r="C461" s="43">
        <v>20000</v>
      </c>
    </row>
    <row r="462" spans="1:3" ht="12.75">
      <c r="A462" s="5" t="s">
        <v>768</v>
      </c>
      <c r="B462" s="20" t="s">
        <v>769</v>
      </c>
      <c r="C462" s="43">
        <v>1000</v>
      </c>
    </row>
    <row r="463" spans="1:3" ht="12.75">
      <c r="A463" s="5" t="s">
        <v>770</v>
      </c>
      <c r="B463" s="20" t="s">
        <v>771</v>
      </c>
      <c r="C463" s="43">
        <v>0</v>
      </c>
    </row>
    <row r="464" spans="1:3" ht="12.75">
      <c r="A464" s="5" t="s">
        <v>772</v>
      </c>
      <c r="B464" s="20" t="s">
        <v>773</v>
      </c>
      <c r="C464" s="43">
        <v>16000</v>
      </c>
    </row>
    <row r="465" spans="1:3" ht="12.75">
      <c r="A465" s="5" t="s">
        <v>762</v>
      </c>
      <c r="B465" s="20" t="s">
        <v>774</v>
      </c>
      <c r="C465" s="43">
        <v>20000</v>
      </c>
    </row>
    <row r="466" spans="1:3" ht="12.75">
      <c r="A466" s="5" t="s">
        <v>775</v>
      </c>
      <c r="B466" s="20" t="s">
        <v>776</v>
      </c>
      <c r="C466" s="43">
        <f>(320*12)+480</f>
        <v>4320</v>
      </c>
    </row>
    <row r="467" spans="1:3" ht="12.75">
      <c r="A467" s="5" t="s">
        <v>777</v>
      </c>
      <c r="B467" s="20" t="s">
        <v>778</v>
      </c>
      <c r="C467" s="43">
        <v>500</v>
      </c>
    </row>
    <row r="468" spans="1:3" ht="12.75">
      <c r="A468" s="5" t="s">
        <v>779</v>
      </c>
      <c r="B468" s="20" t="s">
        <v>780</v>
      </c>
      <c r="C468" s="43">
        <v>6000</v>
      </c>
    </row>
    <row r="469" spans="1:3" ht="12.75">
      <c r="A469" s="9" t="s">
        <v>1100</v>
      </c>
      <c r="B469" s="20" t="s">
        <v>781</v>
      </c>
      <c r="C469" s="43">
        <v>2000</v>
      </c>
    </row>
    <row r="470" spans="1:3" ht="12.75">
      <c r="A470" s="5" t="s">
        <v>782</v>
      </c>
      <c r="B470" s="20" t="s">
        <v>783</v>
      </c>
      <c r="C470" s="43">
        <v>2000</v>
      </c>
    </row>
    <row r="471" spans="1:3" ht="12.75">
      <c r="A471" s="5" t="s">
        <v>784</v>
      </c>
      <c r="B471" s="20" t="s">
        <v>785</v>
      </c>
      <c r="C471" s="43">
        <v>5000</v>
      </c>
    </row>
    <row r="472" spans="1:3" ht="12.75">
      <c r="A472" s="5" t="s">
        <v>786</v>
      </c>
      <c r="B472" s="20" t="s">
        <v>787</v>
      </c>
      <c r="C472" s="43">
        <v>40000</v>
      </c>
    </row>
    <row r="473" spans="1:3" ht="12.75">
      <c r="A473" s="5" t="s">
        <v>788</v>
      </c>
      <c r="B473" s="20" t="s">
        <v>789</v>
      </c>
      <c r="C473" s="43">
        <v>55000</v>
      </c>
    </row>
    <row r="474" spans="1:3" ht="12.75">
      <c r="A474" s="5" t="s">
        <v>790</v>
      </c>
      <c r="B474" s="20" t="s">
        <v>791</v>
      </c>
      <c r="C474" s="43"/>
    </row>
    <row r="475" spans="1:3" ht="12.75">
      <c r="A475" s="5" t="s">
        <v>792</v>
      </c>
      <c r="B475" s="20" t="s">
        <v>793</v>
      </c>
      <c r="C475" s="43">
        <v>2000</v>
      </c>
    </row>
    <row r="476" spans="1:3" ht="12.75">
      <c r="A476" s="5" t="s">
        <v>794</v>
      </c>
      <c r="B476" s="20" t="s">
        <v>795</v>
      </c>
      <c r="C476" s="43">
        <v>68300</v>
      </c>
    </row>
    <row r="477" spans="1:3" ht="12.75">
      <c r="A477" s="56" t="s">
        <v>1101</v>
      </c>
      <c r="B477" s="58"/>
      <c r="C477" s="43">
        <v>10900</v>
      </c>
    </row>
    <row r="478" spans="1:3" ht="12.75">
      <c r="A478" s="56" t="s">
        <v>1102</v>
      </c>
      <c r="B478" s="58"/>
      <c r="C478" s="43">
        <v>6000</v>
      </c>
    </row>
    <row r="479" spans="1:3" s="13" customFormat="1" ht="12.75">
      <c r="A479" s="11" t="s">
        <v>796</v>
      </c>
      <c r="B479" s="12"/>
      <c r="C479" s="40">
        <f>SUM(C453:C478)</f>
        <v>1784324</v>
      </c>
    </row>
    <row r="480" spans="1:2" ht="12.75">
      <c r="A480" s="5" t="s">
        <v>133</v>
      </c>
      <c r="B480" s="6"/>
    </row>
    <row r="481" spans="1:2" s="16" customFormat="1" ht="15">
      <c r="A481" s="8" t="s">
        <v>797</v>
      </c>
      <c r="B481" s="14"/>
    </row>
    <row r="482" spans="1:3" ht="12.75">
      <c r="A482" s="5" t="s">
        <v>798</v>
      </c>
      <c r="B482" s="20" t="s">
        <v>799</v>
      </c>
      <c r="C482" s="52">
        <v>20400</v>
      </c>
    </row>
    <row r="483" spans="1:2" ht="12.75">
      <c r="A483" s="5" t="s">
        <v>133</v>
      </c>
      <c r="B483" s="6"/>
    </row>
    <row r="484" spans="1:2" ht="12.75">
      <c r="A484" s="5" t="s">
        <v>133</v>
      </c>
      <c r="B484" s="6"/>
    </row>
    <row r="485" spans="1:2" ht="15">
      <c r="A485" s="8" t="s">
        <v>1082</v>
      </c>
      <c r="B485" s="6"/>
    </row>
    <row r="486" spans="1:3" ht="12.75">
      <c r="A486" s="9" t="s">
        <v>1088</v>
      </c>
      <c r="B486" s="20" t="s">
        <v>800</v>
      </c>
      <c r="C486" s="38">
        <v>57783</v>
      </c>
    </row>
    <row r="487" spans="1:3" s="13" customFormat="1" ht="12.75">
      <c r="A487" s="9" t="s">
        <v>1083</v>
      </c>
      <c r="B487" s="20" t="s">
        <v>801</v>
      </c>
      <c r="C487" s="43">
        <v>81552</v>
      </c>
    </row>
    <row r="488" spans="1:3" ht="12.75">
      <c r="A488" s="9" t="s">
        <v>1087</v>
      </c>
      <c r="B488" s="20" t="s">
        <v>802</v>
      </c>
      <c r="C488" s="43">
        <v>0</v>
      </c>
    </row>
    <row r="489" spans="1:3" ht="12.75">
      <c r="A489" s="9" t="s">
        <v>1086</v>
      </c>
      <c r="B489" s="20" t="s">
        <v>803</v>
      </c>
      <c r="C489" s="43">
        <f>(C486+C487)*0.075</f>
        <v>10450.125</v>
      </c>
    </row>
    <row r="490" spans="1:3" ht="12.75">
      <c r="A490" s="9" t="s">
        <v>1084</v>
      </c>
      <c r="B490" s="20" t="s">
        <v>804</v>
      </c>
      <c r="C490" s="43">
        <f>2311+1082+1551+630</f>
        <v>5574</v>
      </c>
    </row>
    <row r="491" spans="1:3" ht="12.75">
      <c r="A491" s="9" t="s">
        <v>1085</v>
      </c>
      <c r="B491" s="20" t="s">
        <v>805</v>
      </c>
      <c r="C491" s="43">
        <v>1800</v>
      </c>
    </row>
    <row r="492" spans="1:3" ht="12.75">
      <c r="A492" s="9" t="s">
        <v>1089</v>
      </c>
      <c r="B492" s="20" t="s">
        <v>806</v>
      </c>
      <c r="C492" s="43">
        <v>2000</v>
      </c>
    </row>
    <row r="493" spans="1:3" ht="12.75">
      <c r="A493" s="9" t="s">
        <v>1090</v>
      </c>
      <c r="B493" s="20" t="s">
        <v>807</v>
      </c>
      <c r="C493" s="43">
        <v>1250</v>
      </c>
    </row>
    <row r="494" spans="1:3" ht="12.75">
      <c r="A494" s="9" t="s">
        <v>1091</v>
      </c>
      <c r="B494" s="20" t="s">
        <v>808</v>
      </c>
      <c r="C494" s="43">
        <v>5000</v>
      </c>
    </row>
    <row r="495" spans="1:3" ht="12.75">
      <c r="A495" s="9" t="s">
        <v>1092</v>
      </c>
      <c r="B495" s="20" t="s">
        <v>809</v>
      </c>
      <c r="C495" s="43">
        <v>6000</v>
      </c>
    </row>
    <row r="496" spans="1:3" ht="12.75">
      <c r="A496" s="9" t="s">
        <v>1093</v>
      </c>
      <c r="B496" s="20" t="s">
        <v>810</v>
      </c>
      <c r="C496" s="43">
        <v>20000</v>
      </c>
    </row>
    <row r="497" spans="1:3" ht="12.75">
      <c r="A497" s="9" t="s">
        <v>1098</v>
      </c>
      <c r="B497" s="20" t="s">
        <v>811</v>
      </c>
      <c r="C497" s="43">
        <v>18000</v>
      </c>
    </row>
    <row r="498" spans="1:3" ht="12.75">
      <c r="A498" s="9" t="s">
        <v>1094</v>
      </c>
      <c r="B498" s="20" t="s">
        <v>812</v>
      </c>
      <c r="C498" s="43">
        <v>0</v>
      </c>
    </row>
    <row r="499" spans="1:3" ht="12.75">
      <c r="A499" s="9" t="s">
        <v>1095</v>
      </c>
      <c r="B499" s="20" t="s">
        <v>829</v>
      </c>
      <c r="C499" s="43">
        <v>1500</v>
      </c>
    </row>
    <row r="500" spans="1:3" ht="12.75">
      <c r="A500" s="9" t="s">
        <v>1096</v>
      </c>
      <c r="B500" s="20" t="s">
        <v>830</v>
      </c>
      <c r="C500" s="53">
        <v>5000</v>
      </c>
    </row>
    <row r="501" spans="1:3" ht="12.75">
      <c r="A501" s="9" t="s">
        <v>1097</v>
      </c>
      <c r="B501" s="20" t="s">
        <v>831</v>
      </c>
      <c r="C501" s="53">
        <v>18000</v>
      </c>
    </row>
    <row r="502" spans="1:3" ht="12.75">
      <c r="A502" s="54" t="s">
        <v>1099</v>
      </c>
      <c r="B502" s="17"/>
      <c r="C502" s="53">
        <f>32000-3299</f>
        <v>28701</v>
      </c>
    </row>
    <row r="503" spans="1:3" ht="12.75">
      <c r="A503" s="54" t="s">
        <v>1118</v>
      </c>
      <c r="B503" s="17"/>
      <c r="C503" s="53">
        <v>9999</v>
      </c>
    </row>
    <row r="504" spans="1:3" ht="12.75">
      <c r="A504" s="11" t="s">
        <v>815</v>
      </c>
      <c r="B504" s="12"/>
      <c r="C504" s="40">
        <f>SUM(C486:C503)</f>
        <v>272609.125</v>
      </c>
    </row>
    <row r="505" spans="1:3" ht="15">
      <c r="A505" s="5"/>
      <c r="B505" s="20"/>
      <c r="C505" s="16"/>
    </row>
    <row r="506" spans="1:3" ht="12.75">
      <c r="A506" s="5" t="s">
        <v>816</v>
      </c>
      <c r="B506" s="20" t="s">
        <v>817</v>
      </c>
      <c r="C506" s="59">
        <v>170500</v>
      </c>
    </row>
    <row r="507" spans="1:3" s="13" customFormat="1" ht="12.75">
      <c r="A507" s="5" t="s">
        <v>818</v>
      </c>
      <c r="B507" s="20" t="s">
        <v>819</v>
      </c>
      <c r="C507" s="60">
        <v>0</v>
      </c>
    </row>
    <row r="508" spans="1:3" ht="12.75">
      <c r="A508" s="5" t="s">
        <v>820</v>
      </c>
      <c r="B508" s="20" t="s">
        <v>821</v>
      </c>
      <c r="C508" s="60">
        <v>0</v>
      </c>
    </row>
    <row r="509" spans="1:3" s="16" customFormat="1" ht="15">
      <c r="A509" s="5" t="s">
        <v>822</v>
      </c>
      <c r="B509" s="20" t="s">
        <v>823</v>
      </c>
      <c r="C509" s="43">
        <f>C506*0.0765</f>
        <v>13043.25</v>
      </c>
    </row>
    <row r="510" spans="1:3" ht="12.75">
      <c r="A510" s="5" t="s">
        <v>824</v>
      </c>
      <c r="B510" s="20" t="s">
        <v>825</v>
      </c>
      <c r="C510" s="43"/>
    </row>
    <row r="511" spans="1:3" ht="12.75">
      <c r="A511" s="5" t="s">
        <v>826</v>
      </c>
      <c r="B511" s="20" t="s">
        <v>827</v>
      </c>
      <c r="C511" s="60">
        <v>4000</v>
      </c>
    </row>
    <row r="512" spans="1:3" ht="12.75">
      <c r="A512" s="11" t="s">
        <v>828</v>
      </c>
      <c r="B512" s="12"/>
      <c r="C512" s="40">
        <f>SUM(C506:C511)</f>
        <v>187543.25</v>
      </c>
    </row>
    <row r="513" spans="1:2" ht="12.75">
      <c r="A513" s="5"/>
      <c r="B513" s="6"/>
    </row>
    <row r="514" spans="1:3" ht="15">
      <c r="A514" s="8"/>
      <c r="B514" s="14"/>
      <c r="C514" s="16"/>
    </row>
    <row r="515" spans="1:3" s="13" customFormat="1" ht="12.75">
      <c r="A515" s="5"/>
      <c r="B515" s="17"/>
      <c r="C515"/>
    </row>
    <row r="516" spans="1:2" ht="12.75">
      <c r="A516" s="5"/>
      <c r="B516" s="17"/>
    </row>
    <row r="517" spans="1:2" ht="12.75">
      <c r="A517" s="5"/>
      <c r="B517" s="17"/>
    </row>
    <row r="518" spans="1:2" ht="12.75">
      <c r="A518" s="5"/>
      <c r="B518" s="17"/>
    </row>
    <row r="519" spans="1:2" ht="12.75">
      <c r="A519" s="5"/>
      <c r="B519" s="17"/>
    </row>
    <row r="520" spans="1:2" ht="12.75">
      <c r="A520" s="5"/>
      <c r="B520" s="17"/>
    </row>
    <row r="521" spans="1:2" ht="12.75">
      <c r="A521" s="5"/>
      <c r="B521" s="17"/>
    </row>
    <row r="522" spans="1:2" ht="12.75">
      <c r="A522" s="5"/>
      <c r="B522" s="17"/>
    </row>
    <row r="523" spans="1:2" ht="12.75">
      <c r="A523" s="5"/>
      <c r="B523" s="17"/>
    </row>
    <row r="524" spans="1:2" ht="12.75">
      <c r="A524" s="5"/>
      <c r="B524" s="17"/>
    </row>
    <row r="525" spans="1:2" ht="12.75">
      <c r="A525" s="5"/>
      <c r="B525" s="17"/>
    </row>
    <row r="526" spans="1:3" ht="12.75">
      <c r="A526" s="11"/>
      <c r="B526" s="12"/>
      <c r="C526" s="13"/>
    </row>
    <row r="527" spans="1:2" ht="13.5" thickBot="1">
      <c r="A527" s="5"/>
      <c r="B527" s="6"/>
    </row>
    <row r="528" spans="1:3" ht="15.75" thickBot="1">
      <c r="A528" s="87" t="s">
        <v>832</v>
      </c>
      <c r="B528" s="88"/>
      <c r="C528" s="62">
        <f>C512+C504+C482+C479+C450+C422+C403+C376</f>
        <v>6736682.631010001</v>
      </c>
    </row>
    <row r="529" spans="1:2" ht="12.75">
      <c r="A529" s="5" t="s">
        <v>133</v>
      </c>
      <c r="B529" s="6"/>
    </row>
    <row r="530" spans="1:3" s="13" customFormat="1" ht="15">
      <c r="A530" s="85" t="s">
        <v>833</v>
      </c>
      <c r="B530" s="86"/>
      <c r="C530" s="86"/>
    </row>
    <row r="531" spans="1:2" ht="12.75">
      <c r="A531" s="5"/>
      <c r="B531" s="6"/>
    </row>
    <row r="532" spans="1:2" s="13" customFormat="1" ht="15">
      <c r="A532" s="21" t="s">
        <v>834</v>
      </c>
      <c r="B532" s="12"/>
    </row>
    <row r="533" spans="1:5" ht="12.75">
      <c r="A533" s="5" t="s">
        <v>835</v>
      </c>
      <c r="B533" s="20" t="s">
        <v>836</v>
      </c>
      <c r="C533" s="38">
        <v>490000</v>
      </c>
      <c r="E533" s="1"/>
    </row>
    <row r="534" spans="1:3" ht="12.75">
      <c r="A534" s="5" t="s">
        <v>837</v>
      </c>
      <c r="B534" s="20" t="s">
        <v>838</v>
      </c>
      <c r="C534" s="43">
        <f>10082.23*12</f>
        <v>120986.76</v>
      </c>
    </row>
    <row r="535" spans="1:3" ht="12.75">
      <c r="A535" s="5" t="s">
        <v>839</v>
      </c>
      <c r="B535" s="20" t="s">
        <v>840</v>
      </c>
      <c r="C535" s="43">
        <f>C533*0.0765</f>
        <v>37485</v>
      </c>
    </row>
    <row r="536" spans="1:3" s="13" customFormat="1" ht="12.75">
      <c r="A536" s="5" t="s">
        <v>841</v>
      </c>
      <c r="B536" s="20" t="s">
        <v>842</v>
      </c>
      <c r="C536" s="43">
        <f>(920.56*1.02)*12</f>
        <v>11267.6544</v>
      </c>
    </row>
    <row r="537" spans="1:3" ht="12.75">
      <c r="A537" s="5" t="s">
        <v>843</v>
      </c>
      <c r="B537" s="20" t="s">
        <v>844</v>
      </c>
      <c r="C537" s="43">
        <v>0</v>
      </c>
    </row>
    <row r="538" spans="1:3" ht="12.75">
      <c r="A538" s="5" t="s">
        <v>845</v>
      </c>
      <c r="B538" s="20" t="s">
        <v>846</v>
      </c>
      <c r="C538" s="43">
        <v>25000</v>
      </c>
    </row>
    <row r="539" spans="1:3" ht="12.75">
      <c r="A539" s="5" t="s">
        <v>847</v>
      </c>
      <c r="B539" s="20" t="s">
        <v>848</v>
      </c>
      <c r="C539" s="43">
        <v>500</v>
      </c>
    </row>
    <row r="540" spans="1:3" ht="12.75">
      <c r="A540" s="5" t="s">
        <v>849</v>
      </c>
      <c r="B540" s="20" t="s">
        <v>850</v>
      </c>
      <c r="C540" s="43">
        <v>0</v>
      </c>
    </row>
    <row r="541" spans="1:3" ht="12.75">
      <c r="A541" s="5" t="s">
        <v>851</v>
      </c>
      <c r="B541" s="20" t="s">
        <v>852</v>
      </c>
      <c r="C541" s="43">
        <v>50000</v>
      </c>
    </row>
    <row r="542" spans="1:3" ht="12.75">
      <c r="A542" s="5" t="s">
        <v>853</v>
      </c>
      <c r="B542" s="20" t="s">
        <v>854</v>
      </c>
      <c r="C542" s="43">
        <v>891629</v>
      </c>
    </row>
    <row r="543" spans="1:3" ht="12.75">
      <c r="A543" s="5" t="s">
        <v>855</v>
      </c>
      <c r="B543" s="20" t="s">
        <v>856</v>
      </c>
      <c r="C543" s="43">
        <v>10467</v>
      </c>
    </row>
    <row r="544" spans="1:3" ht="12.75">
      <c r="A544" s="5" t="s">
        <v>857</v>
      </c>
      <c r="B544" s="20" t="s">
        <v>858</v>
      </c>
      <c r="C544" s="43">
        <v>10000</v>
      </c>
    </row>
    <row r="545" spans="1:3" ht="12.75">
      <c r="A545" s="5" t="s">
        <v>859</v>
      </c>
      <c r="B545" s="20" t="s">
        <v>860</v>
      </c>
      <c r="C545" s="43">
        <v>0</v>
      </c>
    </row>
    <row r="546" spans="1:3" ht="12.75">
      <c r="A546" s="5" t="s">
        <v>861</v>
      </c>
      <c r="B546" s="20" t="s">
        <v>862</v>
      </c>
      <c r="C546" s="43">
        <v>400</v>
      </c>
    </row>
    <row r="547" spans="1:3" ht="12.75">
      <c r="A547" s="5" t="s">
        <v>863</v>
      </c>
      <c r="B547" s="20" t="s">
        <v>864</v>
      </c>
      <c r="C547" s="43">
        <v>0</v>
      </c>
    </row>
    <row r="548" spans="1:3" ht="12.75">
      <c r="A548" s="5" t="s">
        <v>865</v>
      </c>
      <c r="B548" s="20" t="s">
        <v>866</v>
      </c>
      <c r="C548" s="43">
        <v>7000</v>
      </c>
    </row>
    <row r="549" spans="1:3" ht="12.75">
      <c r="A549" s="5" t="s">
        <v>867</v>
      </c>
      <c r="B549" s="20" t="s">
        <v>868</v>
      </c>
      <c r="C549" s="43">
        <v>250</v>
      </c>
    </row>
    <row r="550" spans="1:3" ht="12.75">
      <c r="A550" s="5" t="s">
        <v>869</v>
      </c>
      <c r="B550" s="20" t="s">
        <v>870</v>
      </c>
      <c r="C550" s="43">
        <v>0</v>
      </c>
    </row>
    <row r="551" spans="1:3" ht="12.75">
      <c r="A551" s="5" t="s">
        <v>871</v>
      </c>
      <c r="B551" s="20" t="s">
        <v>872</v>
      </c>
      <c r="C551" s="43">
        <v>1500</v>
      </c>
    </row>
    <row r="552" spans="1:3" ht="12.75">
      <c r="A552" s="5" t="s">
        <v>873</v>
      </c>
      <c r="B552" s="20" t="s">
        <v>874</v>
      </c>
      <c r="C552" s="43">
        <v>10000</v>
      </c>
    </row>
    <row r="553" spans="1:3" ht="12.75">
      <c r="A553" s="5" t="s">
        <v>875</v>
      </c>
      <c r="B553" s="20" t="s">
        <v>876</v>
      </c>
      <c r="C553" s="43">
        <v>115000</v>
      </c>
    </row>
    <row r="554" spans="1:3" ht="12.75">
      <c r="A554" s="5" t="s">
        <v>877</v>
      </c>
      <c r="B554" s="20" t="s">
        <v>878</v>
      </c>
      <c r="C554" s="43">
        <v>6000</v>
      </c>
    </row>
    <row r="555" spans="1:3" ht="12.75">
      <c r="A555" s="11" t="s">
        <v>879</v>
      </c>
      <c r="B555" s="12"/>
      <c r="C555" s="40">
        <f>SUM(C533:C554)</f>
        <v>1787485.4144000001</v>
      </c>
    </row>
    <row r="556" spans="1:2" ht="12.75">
      <c r="A556" s="5"/>
      <c r="B556" s="6"/>
    </row>
    <row r="557" spans="1:3" ht="15">
      <c r="A557" s="8" t="s">
        <v>880</v>
      </c>
      <c r="B557" s="14"/>
      <c r="C557" s="16"/>
    </row>
    <row r="558" spans="1:3" ht="12.75">
      <c r="A558" s="5" t="s">
        <v>881</v>
      </c>
      <c r="B558" s="10" t="s">
        <v>882</v>
      </c>
      <c r="C558" s="38">
        <f>45000*1.02</f>
        <v>45900</v>
      </c>
    </row>
    <row r="559" spans="1:3" s="13" customFormat="1" ht="12.75">
      <c r="A559" s="5" t="s">
        <v>883</v>
      </c>
      <c r="B559" s="10" t="s">
        <v>884</v>
      </c>
      <c r="C559" s="43">
        <v>215000</v>
      </c>
    </row>
    <row r="560" spans="1:3" ht="12.75">
      <c r="A560" s="5" t="s">
        <v>885</v>
      </c>
      <c r="B560" s="10" t="s">
        <v>886</v>
      </c>
      <c r="C560" s="43">
        <v>83000</v>
      </c>
    </row>
    <row r="561" spans="1:3" s="16" customFormat="1" ht="15">
      <c r="A561" s="5" t="s">
        <v>887</v>
      </c>
      <c r="B561" s="10" t="s">
        <v>888</v>
      </c>
      <c r="C561" s="43">
        <f>1911.94*12</f>
        <v>22943.28</v>
      </c>
    </row>
    <row r="562" spans="1:3" ht="12.75">
      <c r="A562" s="5" t="s">
        <v>889</v>
      </c>
      <c r="B562" s="10" t="s">
        <v>890</v>
      </c>
      <c r="C562" s="43">
        <v>0</v>
      </c>
    </row>
    <row r="563" spans="1:3" ht="12.75">
      <c r="A563" s="5" t="s">
        <v>891</v>
      </c>
      <c r="B563" s="10" t="s">
        <v>892</v>
      </c>
      <c r="C563" s="43">
        <f>(C558+C559+C560)*0.0765</f>
        <v>26308.35</v>
      </c>
    </row>
    <row r="564" spans="1:3" ht="12.75">
      <c r="A564" s="5" t="s">
        <v>893</v>
      </c>
      <c r="B564" s="10" t="s">
        <v>894</v>
      </c>
      <c r="C564" s="53">
        <f>(145+99)*12</f>
        <v>2928</v>
      </c>
    </row>
    <row r="565" spans="1:3" ht="12.75">
      <c r="A565" s="5" t="s">
        <v>895</v>
      </c>
      <c r="B565" s="10" t="s">
        <v>896</v>
      </c>
      <c r="C565" s="43">
        <v>150</v>
      </c>
    </row>
    <row r="566" spans="1:3" ht="12.75">
      <c r="A566" s="5" t="s">
        <v>897</v>
      </c>
      <c r="B566" s="10" t="s">
        <v>898</v>
      </c>
      <c r="C566" s="43">
        <v>7000</v>
      </c>
    </row>
    <row r="567" spans="1:3" ht="12.75">
      <c r="A567" s="5" t="s">
        <v>899</v>
      </c>
      <c r="B567" s="10" t="s">
        <v>900</v>
      </c>
      <c r="C567" s="43">
        <v>15000</v>
      </c>
    </row>
    <row r="568" spans="1:3" ht="12.75">
      <c r="A568" s="5" t="s">
        <v>901</v>
      </c>
      <c r="B568" s="10" t="s">
        <v>902</v>
      </c>
      <c r="C568" s="43">
        <v>30000</v>
      </c>
    </row>
    <row r="569" spans="1:3" ht="12.75">
      <c r="A569" s="5" t="s">
        <v>903</v>
      </c>
      <c r="B569" s="10" t="s">
        <v>904</v>
      </c>
      <c r="C569" s="43">
        <v>0</v>
      </c>
    </row>
    <row r="570" spans="1:3" ht="12.75">
      <c r="A570" s="5" t="s">
        <v>905</v>
      </c>
      <c r="B570" s="10" t="s">
        <v>906</v>
      </c>
      <c r="C570" s="43">
        <v>120000</v>
      </c>
    </row>
    <row r="571" spans="1:3" ht="12.75">
      <c r="A571" s="5" t="s">
        <v>907</v>
      </c>
      <c r="B571" s="10" t="s">
        <v>908</v>
      </c>
      <c r="C571" s="43">
        <v>500</v>
      </c>
    </row>
    <row r="572" spans="1:3" ht="12.75">
      <c r="A572" s="5" t="s">
        <v>909</v>
      </c>
      <c r="B572" s="10" t="s">
        <v>910</v>
      </c>
      <c r="C572" s="43">
        <f>550*12</f>
        <v>6600</v>
      </c>
    </row>
    <row r="573" spans="1:3" ht="12.75">
      <c r="A573" s="5" t="s">
        <v>911</v>
      </c>
      <c r="B573" s="10" t="s">
        <v>912</v>
      </c>
      <c r="C573" s="43">
        <v>70000</v>
      </c>
    </row>
    <row r="574" spans="1:3" ht="12.75">
      <c r="A574" s="5" t="s">
        <v>913</v>
      </c>
      <c r="B574" s="10" t="s">
        <v>914</v>
      </c>
      <c r="C574" s="43">
        <v>10000</v>
      </c>
    </row>
    <row r="575" spans="1:3" ht="12.75">
      <c r="A575" s="11" t="s">
        <v>915</v>
      </c>
      <c r="B575" s="12"/>
      <c r="C575" s="40">
        <f>SUM(C558:C574)</f>
        <v>655329.63</v>
      </c>
    </row>
    <row r="576" spans="1:2" ht="13.5" thickBot="1">
      <c r="A576" s="5" t="s">
        <v>133</v>
      </c>
      <c r="B576" s="6"/>
    </row>
    <row r="577" spans="1:3" ht="15.75" thickBot="1">
      <c r="A577" s="87" t="s">
        <v>916</v>
      </c>
      <c r="B577" s="88"/>
      <c r="C577" s="63">
        <f>C575+C555</f>
        <v>2442815.0444</v>
      </c>
    </row>
    <row r="578" spans="1:2" ht="12.75">
      <c r="A578" s="5" t="s">
        <v>133</v>
      </c>
      <c r="B578" s="6"/>
    </row>
    <row r="579" spans="1:3" s="13" customFormat="1" ht="15">
      <c r="A579" s="85" t="s">
        <v>917</v>
      </c>
      <c r="B579" s="86"/>
      <c r="C579" s="86"/>
    </row>
    <row r="580" spans="1:2" ht="15">
      <c r="A580" s="21"/>
      <c r="B580" s="6"/>
    </row>
    <row r="581" spans="1:3" s="22" customFormat="1" ht="15">
      <c r="A581" s="5" t="s">
        <v>918</v>
      </c>
      <c r="B581" s="23" t="s">
        <v>919</v>
      </c>
      <c r="C581" s="44">
        <v>0</v>
      </c>
    </row>
    <row r="582" spans="1:3" ht="12.75">
      <c r="A582" s="5" t="s">
        <v>920</v>
      </c>
      <c r="B582" s="23" t="s">
        <v>921</v>
      </c>
      <c r="C582" s="44">
        <v>0</v>
      </c>
    </row>
    <row r="583" spans="1:3" ht="12.75">
      <c r="A583" s="5" t="s">
        <v>922</v>
      </c>
      <c r="B583" s="23" t="s">
        <v>923</v>
      </c>
      <c r="C583" s="44">
        <v>0</v>
      </c>
    </row>
    <row r="584" spans="1:3" ht="12.75">
      <c r="A584" s="5" t="s">
        <v>924</v>
      </c>
      <c r="B584" s="23" t="s">
        <v>925</v>
      </c>
      <c r="C584" s="44">
        <v>45000</v>
      </c>
    </row>
    <row r="585" spans="1:3" ht="12.75">
      <c r="A585" s="5" t="s">
        <v>926</v>
      </c>
      <c r="B585" s="23" t="s">
        <v>927</v>
      </c>
      <c r="C585" s="44">
        <v>13400</v>
      </c>
    </row>
    <row r="586" spans="1:3" ht="12.75">
      <c r="A586" s="5" t="s">
        <v>928</v>
      </c>
      <c r="B586" s="23" t="s">
        <v>929</v>
      </c>
      <c r="C586" s="44">
        <v>6255</v>
      </c>
    </row>
    <row r="587" spans="1:3" ht="12.75">
      <c r="A587" s="5" t="s">
        <v>930</v>
      </c>
      <c r="B587" s="23" t="s">
        <v>931</v>
      </c>
      <c r="C587" s="44">
        <v>1500</v>
      </c>
    </row>
    <row r="588" spans="1:3" ht="12.75">
      <c r="A588" s="11" t="s">
        <v>932</v>
      </c>
      <c r="B588" s="12"/>
      <c r="C588" s="47">
        <f>SUM(C581:C587)</f>
        <v>66155</v>
      </c>
    </row>
    <row r="589" spans="1:3" ht="12.75">
      <c r="A589" s="5" t="s">
        <v>133</v>
      </c>
      <c r="B589" s="6"/>
      <c r="C589" s="5"/>
    </row>
    <row r="590" spans="1:3" ht="15">
      <c r="A590" s="8" t="s">
        <v>933</v>
      </c>
      <c r="B590" s="14"/>
      <c r="C590" s="8"/>
    </row>
    <row r="591" spans="1:3" ht="12.75">
      <c r="A591" s="5" t="s">
        <v>934</v>
      </c>
      <c r="B591" s="10" t="s">
        <v>935</v>
      </c>
      <c r="C591" s="43">
        <v>35000</v>
      </c>
    </row>
    <row r="592" spans="1:3" s="13" customFormat="1" ht="12.75">
      <c r="A592" s="5" t="s">
        <v>936</v>
      </c>
      <c r="B592" s="10" t="s">
        <v>937</v>
      </c>
      <c r="C592" s="43">
        <f>C591*0.0765</f>
        <v>2677.5</v>
      </c>
    </row>
    <row r="593" spans="1:3" ht="12.75">
      <c r="A593" s="5" t="s">
        <v>938</v>
      </c>
      <c r="B593" s="10" t="s">
        <v>939</v>
      </c>
      <c r="C593" s="43">
        <v>300</v>
      </c>
    </row>
    <row r="594" spans="1:3" s="16" customFormat="1" ht="15">
      <c r="A594" s="5" t="s">
        <v>940</v>
      </c>
      <c r="B594" s="10" t="s">
        <v>941</v>
      </c>
      <c r="C594" s="43">
        <v>10000</v>
      </c>
    </row>
    <row r="595" spans="1:3" ht="12.75">
      <c r="A595" s="11" t="s">
        <v>942</v>
      </c>
      <c r="B595" s="12"/>
      <c r="C595" s="47">
        <f>SUM(C591:C594)</f>
        <v>47977.5</v>
      </c>
    </row>
    <row r="596" spans="1:3" ht="12.75">
      <c r="A596" s="5" t="s">
        <v>133</v>
      </c>
      <c r="B596" s="6"/>
      <c r="C596" s="5"/>
    </row>
    <row r="597" spans="1:3" ht="13.5" thickBot="1">
      <c r="A597" s="5" t="s">
        <v>133</v>
      </c>
      <c r="B597" s="6"/>
      <c r="C597" s="5"/>
    </row>
    <row r="598" spans="1:3" ht="15.75" thickBot="1">
      <c r="A598" s="24" t="s">
        <v>943</v>
      </c>
      <c r="B598" s="48"/>
      <c r="C598" s="49">
        <f>SUM(C581:C587,C591:C594)</f>
        <v>114132.5</v>
      </c>
    </row>
    <row r="599" spans="1:3" s="13" customFormat="1" ht="12.75">
      <c r="A599" s="5" t="s">
        <v>133</v>
      </c>
      <c r="B599" s="6"/>
      <c r="C599"/>
    </row>
    <row r="600" spans="1:3" ht="15">
      <c r="A600" s="85" t="s">
        <v>944</v>
      </c>
      <c r="B600" s="86"/>
      <c r="C600" s="86"/>
    </row>
    <row r="601" spans="1:3" ht="15">
      <c r="A601" s="25"/>
      <c r="B601" s="25"/>
      <c r="C601" s="26"/>
    </row>
    <row r="602" spans="1:3" ht="12.75">
      <c r="A602" s="5" t="s">
        <v>945</v>
      </c>
      <c r="B602" s="10" t="s">
        <v>946</v>
      </c>
      <c r="C602" s="44">
        <v>0</v>
      </c>
    </row>
    <row r="603" spans="1:3" ht="12.75">
      <c r="A603" s="5" t="s">
        <v>947</v>
      </c>
      <c r="B603" s="10" t="s">
        <v>948</v>
      </c>
      <c r="C603" s="83">
        <v>6000</v>
      </c>
    </row>
    <row r="604" spans="1:3" ht="12.75">
      <c r="A604" s="5" t="s">
        <v>949</v>
      </c>
      <c r="B604" s="10" t="s">
        <v>950</v>
      </c>
      <c r="C604" s="83"/>
    </row>
    <row r="605" spans="1:3" s="26" customFormat="1" ht="12.75">
      <c r="A605" s="5" t="s">
        <v>951</v>
      </c>
      <c r="B605" s="10" t="s">
        <v>952</v>
      </c>
      <c r="C605" s="83">
        <v>35000</v>
      </c>
    </row>
    <row r="606" spans="1:3" ht="12.75">
      <c r="A606" s="5" t="s">
        <v>953</v>
      </c>
      <c r="B606" s="10" t="s">
        <v>954</v>
      </c>
      <c r="C606" s="83">
        <v>174000</v>
      </c>
    </row>
    <row r="607" spans="1:3" ht="12.75">
      <c r="A607" s="5" t="s">
        <v>955</v>
      </c>
      <c r="B607" s="10" t="s">
        <v>956</v>
      </c>
      <c r="C607" s="83">
        <v>23000</v>
      </c>
    </row>
    <row r="608" spans="1:2" ht="13.5" thickBot="1">
      <c r="A608" s="5"/>
      <c r="B608" s="27"/>
    </row>
    <row r="609" spans="1:3" ht="15.75" thickBot="1">
      <c r="A609" s="28" t="s">
        <v>957</v>
      </c>
      <c r="B609" s="50"/>
      <c r="C609" s="46">
        <f>SUM(C602:C607)</f>
        <v>238000</v>
      </c>
    </row>
    <row r="610" spans="1:2" ht="12.75">
      <c r="A610" s="5" t="s">
        <v>133</v>
      </c>
      <c r="B610" s="6"/>
    </row>
    <row r="611" spans="1:3" ht="15">
      <c r="A611" s="85" t="s">
        <v>958</v>
      </c>
      <c r="B611" s="86"/>
      <c r="C611" s="86"/>
    </row>
    <row r="612" spans="1:2" ht="12.75">
      <c r="A612" s="5"/>
      <c r="B612" s="6"/>
    </row>
    <row r="613" spans="1:3" s="13" customFormat="1" ht="15">
      <c r="A613" s="8" t="s">
        <v>959</v>
      </c>
      <c r="B613" s="14"/>
      <c r="C613" s="16"/>
    </row>
    <row r="614" spans="1:3" ht="12.75">
      <c r="A614" s="5" t="s">
        <v>960</v>
      </c>
      <c r="B614" s="20" t="s">
        <v>961</v>
      </c>
      <c r="C614" s="38">
        <v>60000</v>
      </c>
    </row>
    <row r="615" spans="1:3" ht="12.75">
      <c r="A615" s="5" t="s">
        <v>962</v>
      </c>
      <c r="B615" s="20" t="s">
        <v>963</v>
      </c>
      <c r="C615" s="43">
        <f>1779.71*12</f>
        <v>21356.52</v>
      </c>
    </row>
    <row r="616" spans="1:3" ht="12.75">
      <c r="A616" s="5" t="s">
        <v>964</v>
      </c>
      <c r="B616" s="20" t="s">
        <v>965</v>
      </c>
      <c r="C616" s="43">
        <v>2500</v>
      </c>
    </row>
    <row r="617" spans="1:3" s="16" customFormat="1" ht="15">
      <c r="A617" s="5" t="s">
        <v>966</v>
      </c>
      <c r="B617" s="20" t="s">
        <v>967</v>
      </c>
      <c r="C617" s="43">
        <f>C614*0.075</f>
        <v>4500</v>
      </c>
    </row>
    <row r="618" spans="1:3" ht="12.75">
      <c r="A618" s="5" t="s">
        <v>968</v>
      </c>
      <c r="B618" s="20" t="s">
        <v>969</v>
      </c>
      <c r="C618" s="43">
        <f>C614*0.04</f>
        <v>2400</v>
      </c>
    </row>
    <row r="619" spans="1:3" ht="12.75">
      <c r="A619" s="5" t="s">
        <v>970</v>
      </c>
      <c r="B619" s="20" t="s">
        <v>971</v>
      </c>
      <c r="C619" s="43">
        <v>0</v>
      </c>
    </row>
    <row r="620" spans="1:3" ht="12.75">
      <c r="A620" s="5" t="s">
        <v>972</v>
      </c>
      <c r="B620" s="20" t="s">
        <v>973</v>
      </c>
      <c r="C620" s="43">
        <v>1000</v>
      </c>
    </row>
    <row r="621" spans="1:3" ht="12.75">
      <c r="A621" s="5" t="s">
        <v>974</v>
      </c>
      <c r="B621" s="20" t="s">
        <v>975</v>
      </c>
      <c r="C621" s="43">
        <v>250</v>
      </c>
    </row>
    <row r="622" spans="1:3" ht="12.75">
      <c r="A622" s="5" t="s">
        <v>976</v>
      </c>
      <c r="B622" s="20" t="s">
        <v>977</v>
      </c>
      <c r="C622" s="43">
        <v>750</v>
      </c>
    </row>
    <row r="623" spans="1:3" ht="12.75">
      <c r="A623" s="5" t="s">
        <v>978</v>
      </c>
      <c r="B623" s="20" t="s">
        <v>979</v>
      </c>
      <c r="C623" s="43">
        <v>500</v>
      </c>
    </row>
    <row r="624" spans="1:3" ht="12.75">
      <c r="A624" s="5" t="s">
        <v>980</v>
      </c>
      <c r="B624" s="20" t="s">
        <v>981</v>
      </c>
      <c r="C624" s="43">
        <v>250</v>
      </c>
    </row>
    <row r="625" spans="1:3" ht="12.75">
      <c r="A625" s="5" t="s">
        <v>982</v>
      </c>
      <c r="B625" s="20" t="s">
        <v>983</v>
      </c>
      <c r="C625" s="43">
        <v>1700</v>
      </c>
    </row>
    <row r="626" spans="1:3" ht="12.75">
      <c r="A626" s="5" t="s">
        <v>984</v>
      </c>
      <c r="B626" s="20" t="s">
        <v>985</v>
      </c>
      <c r="C626" s="43">
        <v>1500</v>
      </c>
    </row>
    <row r="627" spans="1:3" ht="12.75">
      <c r="A627" s="11" t="s">
        <v>986</v>
      </c>
      <c r="B627" s="12"/>
      <c r="C627" s="40">
        <f>SUM(C614:C626)</f>
        <v>96706.52</v>
      </c>
    </row>
    <row r="628" spans="1:2" ht="12.75">
      <c r="A628" s="5" t="s">
        <v>133</v>
      </c>
      <c r="B628" s="6"/>
    </row>
    <row r="629" spans="1:2" ht="15">
      <c r="A629" s="8" t="s">
        <v>987</v>
      </c>
      <c r="B629" s="14"/>
    </row>
    <row r="630" spans="1:3" ht="12.75">
      <c r="A630" s="5" t="s">
        <v>813</v>
      </c>
      <c r="B630" s="10" t="s">
        <v>814</v>
      </c>
      <c r="C630" s="43">
        <v>0</v>
      </c>
    </row>
    <row r="631" spans="1:3" s="13" customFormat="1" ht="12.75">
      <c r="A631" s="5" t="s">
        <v>988</v>
      </c>
      <c r="B631" s="10" t="s">
        <v>989</v>
      </c>
      <c r="C631" s="43">
        <v>24288</v>
      </c>
    </row>
    <row r="632" spans="1:3" ht="12.75">
      <c r="A632" s="5" t="s">
        <v>990</v>
      </c>
      <c r="B632" s="10" t="s">
        <v>991</v>
      </c>
      <c r="C632" s="43">
        <v>0</v>
      </c>
    </row>
    <row r="633" spans="1:3" ht="12.75">
      <c r="A633" s="5" t="s">
        <v>992</v>
      </c>
      <c r="B633" s="10" t="s">
        <v>993</v>
      </c>
      <c r="C633" s="43">
        <v>28000</v>
      </c>
    </row>
    <row r="634" spans="1:3" ht="12.75">
      <c r="A634" s="5" t="s">
        <v>994</v>
      </c>
      <c r="B634" s="10" t="s">
        <v>995</v>
      </c>
      <c r="C634" s="43">
        <v>0</v>
      </c>
    </row>
    <row r="635" spans="1:3" ht="12.75">
      <c r="A635" s="11" t="s">
        <v>987</v>
      </c>
      <c r="B635" s="12"/>
      <c r="C635" s="40">
        <f>SUM(C630:C634)</f>
        <v>52288</v>
      </c>
    </row>
    <row r="636" spans="1:2" ht="13.5" thickBot="1">
      <c r="A636" s="5" t="s">
        <v>133</v>
      </c>
      <c r="B636" s="6"/>
    </row>
    <row r="637" spans="1:3" ht="15.75" thickBot="1">
      <c r="A637" s="87" t="s">
        <v>996</v>
      </c>
      <c r="B637" s="88"/>
      <c r="C637" s="41">
        <f>C627+C635</f>
        <v>148994.52000000002</v>
      </c>
    </row>
    <row r="638" spans="1:2" ht="12.75">
      <c r="A638" s="5" t="s">
        <v>133</v>
      </c>
      <c r="B638" s="6"/>
    </row>
    <row r="639" spans="1:3" ht="15">
      <c r="A639" s="85" t="s">
        <v>997</v>
      </c>
      <c r="B639" s="86"/>
      <c r="C639" s="86"/>
    </row>
    <row r="640" spans="1:2" ht="12.75">
      <c r="A640" s="5"/>
      <c r="B640" s="6"/>
    </row>
    <row r="641" spans="1:3" s="13" customFormat="1" ht="15">
      <c r="A641" s="8" t="s">
        <v>998</v>
      </c>
      <c r="B641" s="14"/>
      <c r="C641" s="16"/>
    </row>
    <row r="642" spans="1:3" ht="12.75">
      <c r="A642" s="5" t="s">
        <v>999</v>
      </c>
      <c r="B642" s="20" t="s">
        <v>1000</v>
      </c>
      <c r="C642" s="38">
        <v>12938</v>
      </c>
    </row>
    <row r="643" spans="1:3" ht="12.75">
      <c r="A643" s="5" t="s">
        <v>1001</v>
      </c>
      <c r="B643" s="20" t="s">
        <v>1002</v>
      </c>
      <c r="C643" s="43">
        <v>6650</v>
      </c>
    </row>
    <row r="644" spans="1:3" ht="12.75">
      <c r="A644" s="5" t="s">
        <v>1003</v>
      </c>
      <c r="B644" s="20" t="s">
        <v>1004</v>
      </c>
      <c r="C644" s="43">
        <v>24600</v>
      </c>
    </row>
    <row r="645" spans="1:3" s="16" customFormat="1" ht="15">
      <c r="A645" s="5" t="s">
        <v>1005</v>
      </c>
      <c r="B645" s="20" t="s">
        <v>1006</v>
      </c>
      <c r="C645" s="43">
        <v>2500</v>
      </c>
    </row>
    <row r="646" spans="1:3" ht="12.75">
      <c r="A646" s="5" t="s">
        <v>1007</v>
      </c>
      <c r="B646" s="20" t="s">
        <v>1008</v>
      </c>
      <c r="C646" s="43">
        <v>11000</v>
      </c>
    </row>
    <row r="647" spans="1:3" ht="12.75">
      <c r="A647" s="5" t="s">
        <v>1009</v>
      </c>
      <c r="B647" s="20" t="s">
        <v>1010</v>
      </c>
      <c r="C647" s="43">
        <v>1000</v>
      </c>
    </row>
    <row r="648" spans="1:3" ht="12.75">
      <c r="A648" s="5" t="s">
        <v>1011</v>
      </c>
      <c r="B648" s="20" t="s">
        <v>1012</v>
      </c>
      <c r="C648" s="43">
        <v>0</v>
      </c>
    </row>
    <row r="649" spans="1:3" ht="12.75">
      <c r="A649" s="5" t="s">
        <v>1013</v>
      </c>
      <c r="B649" s="20" t="s">
        <v>1014</v>
      </c>
      <c r="C649" s="43">
        <v>1800</v>
      </c>
    </row>
    <row r="650" spans="1:3" ht="12.75">
      <c r="A650" s="5" t="s">
        <v>1015</v>
      </c>
      <c r="B650" s="20" t="s">
        <v>1016</v>
      </c>
      <c r="C650" s="43">
        <v>3500</v>
      </c>
    </row>
    <row r="651" spans="1:3" ht="12.75">
      <c r="A651" s="5" t="s">
        <v>1017</v>
      </c>
      <c r="B651" s="20" t="s">
        <v>1018</v>
      </c>
      <c r="C651" s="43">
        <v>0</v>
      </c>
    </row>
    <row r="652" spans="1:3" ht="12.75">
      <c r="A652" s="5" t="s">
        <v>1019</v>
      </c>
      <c r="B652" s="20" t="s">
        <v>1020</v>
      </c>
      <c r="C652" s="43">
        <v>6750</v>
      </c>
    </row>
    <row r="653" spans="1:3" ht="12.75">
      <c r="A653" s="5" t="s">
        <v>1021</v>
      </c>
      <c r="B653" s="20" t="s">
        <v>1022</v>
      </c>
      <c r="C653" s="43">
        <v>0</v>
      </c>
    </row>
    <row r="654" spans="1:3" ht="12.75">
      <c r="A654" s="5" t="s">
        <v>1023</v>
      </c>
      <c r="B654" s="20" t="s">
        <v>1024</v>
      </c>
      <c r="C654" s="43">
        <v>750</v>
      </c>
    </row>
    <row r="655" spans="1:3" ht="12.75">
      <c r="A655" s="5" t="s">
        <v>1025</v>
      </c>
      <c r="B655" s="20" t="s">
        <v>1026</v>
      </c>
      <c r="C655" s="43">
        <v>6000</v>
      </c>
    </row>
    <row r="656" spans="1:3" ht="12.75">
      <c r="A656" s="11" t="s">
        <v>1027</v>
      </c>
      <c r="B656" s="12"/>
      <c r="C656" s="40">
        <f>SUM(C642:C655)</f>
        <v>77488</v>
      </c>
    </row>
    <row r="657" spans="1:2" ht="12.75">
      <c r="A657" s="5" t="s">
        <v>133</v>
      </c>
      <c r="B657" s="6"/>
    </row>
    <row r="658" spans="1:3" ht="15">
      <c r="A658" s="8" t="s">
        <v>5</v>
      </c>
      <c r="B658" s="14"/>
      <c r="C658" s="16"/>
    </row>
    <row r="659" spans="1:3" ht="12.75">
      <c r="A659" s="11" t="s">
        <v>1028</v>
      </c>
      <c r="B659" s="12"/>
      <c r="C659" s="13"/>
    </row>
    <row r="660" spans="1:3" s="13" customFormat="1" ht="12.75">
      <c r="A660" s="5"/>
      <c r="B660" s="6"/>
      <c r="C660"/>
    </row>
    <row r="661" spans="1:3" ht="15">
      <c r="A661" s="8" t="s">
        <v>1029</v>
      </c>
      <c r="B661" s="14"/>
      <c r="C661" s="16"/>
    </row>
    <row r="662" spans="1:3" s="16" customFormat="1" ht="15">
      <c r="A662" s="5" t="s">
        <v>1030</v>
      </c>
      <c r="B662" s="20" t="s">
        <v>1031</v>
      </c>
      <c r="C662" s="38">
        <v>130208</v>
      </c>
    </row>
    <row r="663" spans="1:3" s="13" customFormat="1" ht="12.75">
      <c r="A663" s="5" t="s">
        <v>1032</v>
      </c>
      <c r="B663" s="20" t="s">
        <v>1033</v>
      </c>
      <c r="C663" s="43">
        <v>40000</v>
      </c>
    </row>
    <row r="664" spans="1:3" ht="12.75">
      <c r="A664" s="5" t="s">
        <v>1034</v>
      </c>
      <c r="B664" s="20" t="s">
        <v>1035</v>
      </c>
      <c r="C664" s="43">
        <v>9900</v>
      </c>
    </row>
    <row r="665" spans="1:3" s="16" customFormat="1" ht="15">
      <c r="A665" s="5" t="s">
        <v>1036</v>
      </c>
      <c r="B665" s="20" t="s">
        <v>1037</v>
      </c>
      <c r="C665" s="43">
        <v>4975</v>
      </c>
    </row>
    <row r="666" spans="1:3" ht="12.75">
      <c r="A666" s="5" t="s">
        <v>1038</v>
      </c>
      <c r="B666" s="20" t="s">
        <v>1039</v>
      </c>
      <c r="C666" s="43">
        <v>2800</v>
      </c>
    </row>
    <row r="667" spans="1:3" ht="12.75">
      <c r="A667" s="5" t="s">
        <v>1040</v>
      </c>
      <c r="B667" s="20" t="s">
        <v>1041</v>
      </c>
      <c r="C667" s="43">
        <v>500</v>
      </c>
    </row>
    <row r="668" spans="1:3" ht="12.75">
      <c r="A668" s="5" t="s">
        <v>1042</v>
      </c>
      <c r="B668" s="20" t="s">
        <v>1043</v>
      </c>
      <c r="C668" s="43">
        <v>3000</v>
      </c>
    </row>
    <row r="669" spans="1:3" ht="12.75">
      <c r="A669" s="5" t="s">
        <v>1044</v>
      </c>
      <c r="B669" s="20" t="s">
        <v>1045</v>
      </c>
      <c r="C669" s="43">
        <v>1500</v>
      </c>
    </row>
    <row r="670" spans="1:3" ht="12.75">
      <c r="A670" s="5" t="s">
        <v>1046</v>
      </c>
      <c r="B670" s="20" t="s">
        <v>1047</v>
      </c>
      <c r="C670" s="43">
        <v>2000</v>
      </c>
    </row>
    <row r="671" spans="1:3" ht="12.75">
      <c r="A671" s="5" t="s">
        <v>1048</v>
      </c>
      <c r="B671" s="20" t="s">
        <v>1049</v>
      </c>
      <c r="C671" s="43">
        <v>0</v>
      </c>
    </row>
    <row r="672" spans="1:3" ht="12.75">
      <c r="A672" s="5" t="s">
        <v>1050</v>
      </c>
      <c r="B672" s="20" t="s">
        <v>1051</v>
      </c>
      <c r="C672" s="43">
        <v>0</v>
      </c>
    </row>
    <row r="673" spans="1:3" ht="12.75">
      <c r="A673" s="5" t="s">
        <v>1052</v>
      </c>
      <c r="B673" s="20" t="s">
        <v>1053</v>
      </c>
      <c r="C673" s="43">
        <v>500</v>
      </c>
    </row>
    <row r="674" spans="1:3" ht="12.75">
      <c r="A674" s="5" t="s">
        <v>1054</v>
      </c>
      <c r="B674" s="20" t="s">
        <v>1055</v>
      </c>
      <c r="C674" s="43">
        <v>35000</v>
      </c>
    </row>
    <row r="675" spans="1:3" ht="12.75">
      <c r="A675" s="11" t="s">
        <v>1056</v>
      </c>
      <c r="B675" s="12"/>
      <c r="C675" s="40">
        <f>SUM(C662:C674)</f>
        <v>230383</v>
      </c>
    </row>
    <row r="676" spans="1:2" ht="12.75">
      <c r="A676" s="5" t="s">
        <v>133</v>
      </c>
      <c r="B676" s="6"/>
    </row>
    <row r="677" spans="1:3" ht="15">
      <c r="A677" s="8" t="s">
        <v>1057</v>
      </c>
      <c r="B677" s="14"/>
      <c r="C677" s="16"/>
    </row>
    <row r="678" spans="1:3" ht="12.75">
      <c r="A678" s="5" t="s">
        <v>1058</v>
      </c>
      <c r="B678" s="29" t="s">
        <v>1059</v>
      </c>
      <c r="C678" s="43">
        <f>76341+2000-15000</f>
        <v>63341</v>
      </c>
    </row>
    <row r="679" spans="1:3" s="13" customFormat="1" ht="12.75">
      <c r="A679" s="5" t="s">
        <v>1060</v>
      </c>
      <c r="B679" s="29" t="s">
        <v>1061</v>
      </c>
      <c r="C679" s="43">
        <v>0</v>
      </c>
    </row>
    <row r="680" spans="1:3" ht="12.75">
      <c r="A680" s="5" t="s">
        <v>1062</v>
      </c>
      <c r="B680" s="29" t="s">
        <v>1063</v>
      </c>
      <c r="C680" s="43">
        <v>2000</v>
      </c>
    </row>
    <row r="681" spans="1:3" s="16" customFormat="1" ht="15">
      <c r="A681" s="5" t="s">
        <v>1064</v>
      </c>
      <c r="B681" s="29" t="s">
        <v>1065</v>
      </c>
      <c r="C681" s="43">
        <v>15000</v>
      </c>
    </row>
    <row r="682" spans="1:3" ht="12.75">
      <c r="A682" s="5" t="s">
        <v>1066</v>
      </c>
      <c r="B682" s="29" t="s">
        <v>1067</v>
      </c>
      <c r="C682" s="43">
        <v>3500</v>
      </c>
    </row>
    <row r="683" spans="1:3" ht="12.75">
      <c r="A683" s="5" t="s">
        <v>1068</v>
      </c>
      <c r="B683" s="29" t="s">
        <v>1069</v>
      </c>
      <c r="C683" s="43">
        <f>1076.77*12</f>
        <v>12921.24</v>
      </c>
    </row>
    <row r="684" spans="1:3" ht="12.75">
      <c r="A684" s="56" t="s">
        <v>1104</v>
      </c>
      <c r="B684" s="29"/>
      <c r="C684" s="43">
        <v>1000</v>
      </c>
    </row>
    <row r="685" spans="1:3" ht="12.75">
      <c r="A685" s="5" t="s">
        <v>1070</v>
      </c>
      <c r="B685" s="29" t="s">
        <v>1071</v>
      </c>
      <c r="C685" s="43">
        <v>0</v>
      </c>
    </row>
    <row r="686" spans="1:3" ht="12.75">
      <c r="A686" s="11" t="s">
        <v>1072</v>
      </c>
      <c r="B686" s="12"/>
      <c r="C686" s="40">
        <f>SUM(C678:C685)</f>
        <v>97762.24</v>
      </c>
    </row>
    <row r="687" spans="1:2" ht="13.5" thickBot="1">
      <c r="A687" s="5" t="s">
        <v>133</v>
      </c>
      <c r="B687" s="6"/>
    </row>
    <row r="688" spans="1:3" ht="15.75" thickBot="1">
      <c r="A688" s="87" t="s">
        <v>1073</v>
      </c>
      <c r="B688" s="88"/>
      <c r="C688" s="41">
        <f>C656+C675+C686</f>
        <v>405633.24</v>
      </c>
    </row>
    <row r="689" spans="1:2" ht="12.75">
      <c r="A689" s="5"/>
      <c r="B689" s="6"/>
    </row>
    <row r="690" spans="1:3" s="13" customFormat="1" ht="13.5" thickBot="1">
      <c r="A690" s="5" t="s">
        <v>133</v>
      </c>
      <c r="B690" s="6"/>
      <c r="C690"/>
    </row>
    <row r="691" spans="1:3" ht="15.75" thickBot="1">
      <c r="A691" s="31" t="s">
        <v>1074</v>
      </c>
      <c r="B691" s="32"/>
      <c r="C691" s="75">
        <f>C688+C637+C609+C598+C577+C528+C337+C246</f>
        <v>12613202.00454</v>
      </c>
    </row>
    <row r="692" spans="1:3" s="13" customFormat="1" ht="13.5" thickBot="1">
      <c r="A692" s="30" t="s">
        <v>133</v>
      </c>
      <c r="B692" s="32"/>
      <c r="C692" s="33"/>
    </row>
    <row r="693" spans="1:3" ht="15.75" thickBot="1">
      <c r="A693" s="31" t="s">
        <v>1075</v>
      </c>
      <c r="B693" s="32"/>
      <c r="C693" s="75">
        <f>C90</f>
        <v>12613202</v>
      </c>
    </row>
    <row r="694" spans="1:3" ht="13.5" thickBot="1">
      <c r="A694" s="30"/>
      <c r="B694" s="32"/>
      <c r="C694" s="33"/>
    </row>
    <row r="695" spans="1:3" s="33" customFormat="1" ht="13.5" thickBot="1">
      <c r="A695" s="34" t="s">
        <v>1076</v>
      </c>
      <c r="B695" s="35"/>
      <c r="C695" s="66">
        <f>C691-C693</f>
        <v>0.004540000110864639</v>
      </c>
    </row>
    <row r="696" spans="1:3" s="33" customFormat="1" ht="12.75">
      <c r="A696"/>
      <c r="B696"/>
      <c r="C696"/>
    </row>
    <row r="697" spans="1:3" s="33" customFormat="1" ht="12.75">
      <c r="A697"/>
      <c r="B697"/>
      <c r="C697"/>
    </row>
    <row r="698" spans="1:3" s="33" customFormat="1" ht="12.75">
      <c r="A698"/>
      <c r="B698"/>
      <c r="C698"/>
    </row>
    <row r="699" spans="1:3" s="33" customFormat="1" ht="12.75">
      <c r="A699"/>
      <c r="B699"/>
      <c r="C699"/>
    </row>
    <row r="700" ht="12.75">
      <c r="B700"/>
    </row>
    <row r="701" ht="12.75">
      <c r="B701"/>
    </row>
    <row r="702" spans="2:3" ht="12.75">
      <c r="B702"/>
      <c r="C702" s="13"/>
    </row>
    <row r="703" spans="2:3" ht="12.75">
      <c r="B703"/>
      <c r="C703" s="67"/>
    </row>
    <row r="704" spans="2:3" ht="12.75">
      <c r="B704"/>
      <c r="C704" s="13"/>
    </row>
    <row r="705" ht="12.75">
      <c r="B705"/>
    </row>
    <row r="706" spans="1:3" s="13" customFormat="1" ht="12.75">
      <c r="A706"/>
      <c r="B706"/>
      <c r="C706"/>
    </row>
    <row r="707" spans="2:3" ht="12.75">
      <c r="B707"/>
      <c r="C707" s="33"/>
    </row>
    <row r="708" spans="1:3" s="13" customFormat="1" ht="12.75">
      <c r="A708"/>
      <c r="B708"/>
      <c r="C708" s="33"/>
    </row>
    <row r="709" spans="2:3" ht="12.75">
      <c r="B709"/>
      <c r="C709" s="33"/>
    </row>
    <row r="710" spans="2:3" ht="12.75">
      <c r="B710"/>
      <c r="C710" s="33"/>
    </row>
    <row r="711" spans="1:2" s="33" customFormat="1" ht="12.75">
      <c r="A711"/>
      <c r="B711"/>
    </row>
    <row r="712" spans="1:3" s="33" customFormat="1" ht="12.75">
      <c r="A712"/>
      <c r="B712" s="2"/>
      <c r="C712"/>
    </row>
    <row r="713" spans="1:3" s="33" customFormat="1" ht="12.75">
      <c r="A713"/>
      <c r="B713" s="2"/>
      <c r="C713"/>
    </row>
    <row r="714" spans="1:3" s="33" customFormat="1" ht="12.75">
      <c r="A714"/>
      <c r="B714" s="2"/>
      <c r="C714"/>
    </row>
    <row r="715" spans="1:3" s="33" customFormat="1" ht="12.75">
      <c r="A715"/>
      <c r="B715" s="2"/>
      <c r="C715"/>
    </row>
  </sheetData>
  <sheetProtection/>
  <mergeCells count="19">
    <mergeCell ref="A611:C611"/>
    <mergeCell ref="A639:C639"/>
    <mergeCell ref="A90:B90"/>
    <mergeCell ref="A9:C9"/>
    <mergeCell ref="A93:C93"/>
    <mergeCell ref="A246:B246"/>
    <mergeCell ref="A337:B337"/>
    <mergeCell ref="A528:B528"/>
    <mergeCell ref="A95:C95"/>
    <mergeCell ref="A3:C3"/>
    <mergeCell ref="A4:C4"/>
    <mergeCell ref="A248:C248"/>
    <mergeCell ref="A339:C339"/>
    <mergeCell ref="A688:B688"/>
    <mergeCell ref="A577:B577"/>
    <mergeCell ref="A637:B637"/>
    <mergeCell ref="A530:C530"/>
    <mergeCell ref="A579:C579"/>
    <mergeCell ref="A600:C600"/>
  </mergeCells>
  <printOptions horizontalCentered="1"/>
  <pageMargins left="0.5" right="0.5" top="0.75" bottom="0.5" header="0.5" footer="0.25"/>
  <pageSetup fitToHeight="0" fitToWidth="1" horizontalDpi="600" verticalDpi="600" orientation="portrait" r:id="rId1"/>
  <headerFooter alignWithMargins="0">
    <oddHeader>&amp;RPage &amp;P of &amp;N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D18" sqref="D18"/>
    </sheetView>
  </sheetViews>
  <sheetFormatPr defaultColWidth="9.28125" defaultRowHeight="12.75"/>
  <cols>
    <col min="1" max="1" width="46.28125" style="0" bestFit="1" customWidth="1"/>
    <col min="2" max="2" width="19.140625" style="0" bestFit="1" customWidth="1"/>
    <col min="3" max="3" width="7.57421875" style="0" bestFit="1" customWidth="1"/>
    <col min="4" max="4" width="15.00390625" style="0" bestFit="1" customWidth="1"/>
  </cols>
  <sheetData>
    <row r="1" spans="1:4" ht="15">
      <c r="A1" s="84" t="s">
        <v>6</v>
      </c>
      <c r="B1" s="84"/>
      <c r="C1" s="84"/>
      <c r="D1" s="84"/>
    </row>
    <row r="2" spans="1:4" ht="15">
      <c r="A2" s="84" t="s">
        <v>1112</v>
      </c>
      <c r="B2" s="84"/>
      <c r="C2" s="84"/>
      <c r="D2" s="84"/>
    </row>
    <row r="3" spans="1:4" ht="15">
      <c r="A3" s="3"/>
      <c r="B3" s="3"/>
      <c r="C3" s="3"/>
      <c r="D3" s="3"/>
    </row>
    <row r="4" spans="1:3" ht="15">
      <c r="A4" s="8" t="s">
        <v>1113</v>
      </c>
      <c r="B4" s="14"/>
      <c r="C4" s="15"/>
    </row>
    <row r="5" spans="1:3" ht="14.25">
      <c r="A5" s="68" t="s">
        <v>7</v>
      </c>
      <c r="B5" s="69">
        <v>8205004</v>
      </c>
      <c r="C5" s="7"/>
    </row>
    <row r="6" spans="1:3" ht="14.25">
      <c r="A6" s="68" t="s">
        <v>41</v>
      </c>
      <c r="B6" s="70">
        <v>34000</v>
      </c>
      <c r="C6" s="7"/>
    </row>
    <row r="7" spans="1:3" ht="14.25">
      <c r="A7" s="68" t="s">
        <v>49</v>
      </c>
      <c r="B7" s="69">
        <v>1373734</v>
      </c>
      <c r="C7" s="7"/>
    </row>
    <row r="8" spans="1:3" ht="14.25">
      <c r="A8" s="68" t="s">
        <v>81</v>
      </c>
      <c r="B8" s="69">
        <v>1837088</v>
      </c>
      <c r="C8" s="7"/>
    </row>
    <row r="9" spans="1:3" ht="14.25">
      <c r="A9" s="68" t="s">
        <v>107</v>
      </c>
      <c r="B9" s="69">
        <v>525000</v>
      </c>
      <c r="C9" s="7"/>
    </row>
    <row r="10" spans="1:3" ht="15" thickBot="1">
      <c r="A10" s="71" t="s">
        <v>123</v>
      </c>
      <c r="B10" s="72">
        <v>638376</v>
      </c>
      <c r="C10" s="19"/>
    </row>
    <row r="11" spans="1:3" ht="15">
      <c r="A11" s="8" t="s">
        <v>1075</v>
      </c>
      <c r="B11" s="73">
        <f>SUM(B5:B10)</f>
        <v>12613202</v>
      </c>
      <c r="C11" s="19"/>
    </row>
    <row r="12" spans="1:3" ht="12.75">
      <c r="A12" s="5"/>
      <c r="B12" s="6"/>
      <c r="C12" s="7"/>
    </row>
    <row r="13" spans="1:3" ht="15">
      <c r="A13" s="8" t="s">
        <v>1114</v>
      </c>
      <c r="B13" s="6"/>
      <c r="C13" s="7"/>
    </row>
    <row r="14" spans="1:3" ht="14.25">
      <c r="A14" s="68" t="s">
        <v>2</v>
      </c>
      <c r="B14" s="79">
        <v>167409.5165</v>
      </c>
      <c r="C14" s="18"/>
    </row>
    <row r="15" spans="1:3" ht="14.25">
      <c r="A15" s="68" t="s">
        <v>157</v>
      </c>
      <c r="B15" s="79">
        <v>319584.9925</v>
      </c>
      <c r="C15" s="18"/>
    </row>
    <row r="16" spans="1:3" ht="14.25">
      <c r="A16" s="68" t="s">
        <v>208</v>
      </c>
      <c r="B16" s="79">
        <v>197286.12</v>
      </c>
      <c r="C16" s="18"/>
    </row>
    <row r="17" spans="1:3" ht="14.25">
      <c r="A17" s="68" t="s">
        <v>262</v>
      </c>
      <c r="B17" s="80">
        <v>72911</v>
      </c>
      <c r="C17" s="18"/>
    </row>
    <row r="18" spans="1:3" ht="14.25">
      <c r="A18" s="68" t="s">
        <v>270</v>
      </c>
      <c r="B18" s="79">
        <v>40000</v>
      </c>
      <c r="C18" s="18"/>
    </row>
    <row r="19" spans="1:3" ht="14.25">
      <c r="A19" s="68" t="s">
        <v>278</v>
      </c>
      <c r="B19" s="79">
        <v>84218.5</v>
      </c>
      <c r="C19" s="18"/>
    </row>
    <row r="20" spans="1:3" ht="14.25">
      <c r="A20" s="68" t="s">
        <v>306</v>
      </c>
      <c r="B20" s="79">
        <v>253510.92778000003</v>
      </c>
      <c r="C20" s="18"/>
    </row>
    <row r="21" spans="1:3" ht="14.25">
      <c r="A21" s="68" t="s">
        <v>344</v>
      </c>
      <c r="B21" s="79">
        <v>366491.5575</v>
      </c>
      <c r="C21" s="18"/>
    </row>
    <row r="22" spans="1:3" ht="14.25">
      <c r="A22" s="68" t="s">
        <v>390</v>
      </c>
      <c r="B22" s="79">
        <v>2000</v>
      </c>
      <c r="C22" s="18"/>
    </row>
    <row r="23" spans="1:3" ht="14.25">
      <c r="A23" s="68" t="s">
        <v>396</v>
      </c>
      <c r="B23" s="79">
        <v>253742.91</v>
      </c>
      <c r="C23" s="18"/>
    </row>
    <row r="24" spans="1:3" ht="14.25">
      <c r="A24" s="68" t="s">
        <v>424</v>
      </c>
      <c r="B24" s="79">
        <v>58613.55</v>
      </c>
      <c r="C24" s="18"/>
    </row>
    <row r="25" spans="1:3" ht="14.25">
      <c r="A25" s="68" t="s">
        <v>428</v>
      </c>
      <c r="B25" s="79">
        <v>296966.4386</v>
      </c>
      <c r="C25" s="18"/>
    </row>
    <row r="26" spans="1:3" ht="14.25">
      <c r="A26" s="68" t="s">
        <v>468</v>
      </c>
      <c r="B26" s="81">
        <v>205920.53825</v>
      </c>
      <c r="C26" s="18"/>
    </row>
    <row r="27" spans="1:3" ht="14.25">
      <c r="A27" s="68" t="s">
        <v>508</v>
      </c>
      <c r="B27" s="79">
        <v>208288.018</v>
      </c>
      <c r="C27" s="19"/>
    </row>
    <row r="28" spans="1:3" ht="14.25">
      <c r="A28" s="68" t="s">
        <v>552</v>
      </c>
      <c r="B28" s="79">
        <v>1989223.78</v>
      </c>
      <c r="C28" s="7"/>
    </row>
    <row r="29" spans="1:3" ht="14.25">
      <c r="A29" s="68" t="s">
        <v>620</v>
      </c>
      <c r="B29" s="79">
        <v>1792208</v>
      </c>
      <c r="C29" s="7"/>
    </row>
    <row r="30" spans="1:3" ht="15">
      <c r="A30" s="68" t="s">
        <v>670</v>
      </c>
      <c r="B30" s="79">
        <v>62495.90101</v>
      </c>
      <c r="C30" s="15"/>
    </row>
    <row r="31" spans="1:3" ht="14.25">
      <c r="A31" s="68" t="s">
        <v>697</v>
      </c>
      <c r="B31" s="79">
        <v>612878.575</v>
      </c>
      <c r="C31" s="18"/>
    </row>
    <row r="32" spans="1:3" ht="14.25">
      <c r="A32" s="68" t="s">
        <v>749</v>
      </c>
      <c r="B32" s="79">
        <v>1791024</v>
      </c>
      <c r="C32" s="18"/>
    </row>
    <row r="33" spans="1:3" ht="14.25">
      <c r="A33" s="68" t="s">
        <v>797</v>
      </c>
      <c r="B33" s="79">
        <v>20400</v>
      </c>
      <c r="C33" s="18"/>
    </row>
    <row r="34" spans="1:3" ht="14.25">
      <c r="A34" s="68" t="s">
        <v>1082</v>
      </c>
      <c r="B34" s="79">
        <v>265909.125</v>
      </c>
      <c r="C34" s="18"/>
    </row>
    <row r="35" spans="1:3" ht="14.25">
      <c r="A35" s="68" t="s">
        <v>1115</v>
      </c>
      <c r="B35" s="79">
        <v>187543.25</v>
      </c>
      <c r="C35" s="18"/>
    </row>
    <row r="36" spans="1:3" ht="14.25">
      <c r="A36" s="74" t="s">
        <v>834</v>
      </c>
      <c r="B36" s="79">
        <v>1787485.4144000001</v>
      </c>
      <c r="C36" s="18"/>
    </row>
    <row r="37" spans="1:3" ht="14.25">
      <c r="A37" s="68" t="s">
        <v>880</v>
      </c>
      <c r="B37" s="79">
        <v>655329.63</v>
      </c>
      <c r="C37" s="18"/>
    </row>
    <row r="38" spans="1:3" ht="14.25">
      <c r="A38" s="68" t="s">
        <v>1116</v>
      </c>
      <c r="B38" s="81">
        <v>66155</v>
      </c>
      <c r="C38" s="18"/>
    </row>
    <row r="39" spans="1:3" ht="14.25">
      <c r="A39" s="68" t="s">
        <v>933</v>
      </c>
      <c r="B39" s="81">
        <v>47977.5</v>
      </c>
      <c r="C39" s="18"/>
    </row>
    <row r="40" spans="1:3" ht="14.25">
      <c r="A40" s="68" t="s">
        <v>1117</v>
      </c>
      <c r="B40" s="81">
        <v>238000</v>
      </c>
      <c r="C40" s="18"/>
    </row>
    <row r="41" spans="1:3" ht="14.25">
      <c r="A41" s="68" t="s">
        <v>959</v>
      </c>
      <c r="B41" s="79">
        <v>96706.52</v>
      </c>
      <c r="C41" s="18"/>
    </row>
    <row r="42" spans="1:3" ht="14.25">
      <c r="A42" s="68" t="s">
        <v>987</v>
      </c>
      <c r="B42" s="79">
        <v>52288</v>
      </c>
      <c r="C42" s="18"/>
    </row>
    <row r="43" spans="1:3" ht="14.25">
      <c r="A43" s="68" t="s">
        <v>998</v>
      </c>
      <c r="B43" s="79">
        <v>77488</v>
      </c>
      <c r="C43" s="18"/>
    </row>
    <row r="44" spans="1:3" ht="14.25">
      <c r="A44" s="68" t="s">
        <v>1029</v>
      </c>
      <c r="B44" s="79">
        <v>230383</v>
      </c>
      <c r="C44" s="19"/>
    </row>
    <row r="45" spans="1:4" ht="15" thickBot="1">
      <c r="A45" s="71" t="s">
        <v>1057</v>
      </c>
      <c r="B45" s="82">
        <v>112762.24</v>
      </c>
      <c r="C45" s="5"/>
      <c r="D45" s="78"/>
    </row>
    <row r="46" spans="1:3" ht="15">
      <c r="A46" s="21" t="s">
        <v>1074</v>
      </c>
      <c r="B46" s="75">
        <f>SUM(B14:B45)</f>
        <v>12613202.00454</v>
      </c>
      <c r="C46" s="5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4.8515625" style="0" bestFit="1" customWidth="1"/>
    <col min="2" max="2" width="12.00390625" style="0" bestFit="1" customWidth="1"/>
    <col min="3" max="3" width="10.140625" style="0" customWidth="1"/>
    <col min="4" max="4" width="12.140625" style="0" customWidth="1"/>
  </cols>
  <sheetData>
    <row r="3" spans="1:2" ht="12.75">
      <c r="A3" s="5" t="s">
        <v>750</v>
      </c>
      <c r="B3" s="38">
        <v>1200000</v>
      </c>
    </row>
    <row r="4" spans="1:2" ht="12.75">
      <c r="A4" s="5" t="s">
        <v>752</v>
      </c>
      <c r="B4" s="43">
        <f>12917*12</f>
        <v>155004</v>
      </c>
    </row>
    <row r="5" spans="1:2" ht="12.75">
      <c r="A5" s="5" t="s">
        <v>754</v>
      </c>
      <c r="B5" s="43">
        <f>B3*0.0765</f>
        <v>91800</v>
      </c>
    </row>
    <row r="6" spans="1:2" ht="12.75">
      <c r="A6" s="5" t="s">
        <v>756</v>
      </c>
      <c r="B6" s="43">
        <f>B3*0.04</f>
        <v>48000</v>
      </c>
    </row>
    <row r="7" spans="1:2" ht="12.75">
      <c r="A7" s="5" t="s">
        <v>758</v>
      </c>
      <c r="B7" s="43">
        <v>0</v>
      </c>
    </row>
    <row r="8" spans="1:2" ht="12.75">
      <c r="A8" s="5" t="s">
        <v>760</v>
      </c>
      <c r="B8" s="43">
        <v>30000</v>
      </c>
    </row>
    <row r="9" spans="1:2" ht="12.75">
      <c r="A9" s="5" t="s">
        <v>762</v>
      </c>
      <c r="B9" s="43">
        <v>0</v>
      </c>
    </row>
    <row r="10" spans="1:2" ht="12.75">
      <c r="A10" s="5" t="s">
        <v>764</v>
      </c>
      <c r="B10" s="43">
        <v>500</v>
      </c>
    </row>
    <row r="11" spans="1:2" ht="12.75">
      <c r="A11" s="5" t="s">
        <v>766</v>
      </c>
      <c r="B11" s="43">
        <v>20000</v>
      </c>
    </row>
    <row r="12" spans="1:2" ht="12.75">
      <c r="A12" s="5" t="s">
        <v>768</v>
      </c>
      <c r="B12" s="43">
        <v>1000</v>
      </c>
    </row>
    <row r="13" spans="1:2" ht="12.75">
      <c r="A13" s="5" t="s">
        <v>770</v>
      </c>
      <c r="B13" s="43">
        <v>0</v>
      </c>
    </row>
    <row r="14" spans="1:2" ht="12.75">
      <c r="A14" s="5" t="s">
        <v>772</v>
      </c>
      <c r="B14" s="43">
        <v>16000</v>
      </c>
    </row>
    <row r="15" spans="1:2" ht="12.75">
      <c r="A15" s="5" t="s">
        <v>762</v>
      </c>
      <c r="B15" s="43">
        <v>20000</v>
      </c>
    </row>
    <row r="16" spans="1:2" ht="12.75">
      <c r="A16" s="5" t="s">
        <v>775</v>
      </c>
      <c r="B16" s="43">
        <f>(320*12)+480</f>
        <v>4320</v>
      </c>
    </row>
    <row r="17" spans="1:2" ht="12.75">
      <c r="A17" s="5" t="s">
        <v>777</v>
      </c>
      <c r="B17" s="43">
        <v>500</v>
      </c>
    </row>
    <row r="18" spans="1:2" ht="12.75">
      <c r="A18" s="5" t="s">
        <v>779</v>
      </c>
      <c r="B18" s="43">
        <v>6000</v>
      </c>
    </row>
    <row r="19" spans="1:2" ht="12.75">
      <c r="A19" s="9" t="s">
        <v>1100</v>
      </c>
      <c r="B19" s="43">
        <v>2000</v>
      </c>
    </row>
    <row r="20" spans="1:2" ht="12.75">
      <c r="A20" s="5" t="s">
        <v>782</v>
      </c>
      <c r="B20" s="43">
        <v>2000</v>
      </c>
    </row>
    <row r="21" spans="1:2" ht="12.75">
      <c r="A21" s="5" t="s">
        <v>784</v>
      </c>
      <c r="B21" s="43">
        <v>5000</v>
      </c>
    </row>
    <row r="22" spans="1:2" ht="12.75">
      <c r="A22" s="5" t="s">
        <v>786</v>
      </c>
      <c r="B22" s="43">
        <v>40000</v>
      </c>
    </row>
    <row r="23" spans="1:2" ht="12.75">
      <c r="A23" s="5" t="s">
        <v>788</v>
      </c>
      <c r="B23" s="43">
        <v>55000</v>
      </c>
    </row>
    <row r="24" spans="1:2" ht="12.75">
      <c r="A24" s="5" t="s">
        <v>790</v>
      </c>
      <c r="B24" s="43"/>
    </row>
    <row r="25" spans="1:2" ht="12.75">
      <c r="A25" s="5" t="s">
        <v>792</v>
      </c>
      <c r="B25" s="43">
        <v>2000</v>
      </c>
    </row>
    <row r="26" spans="1:2" ht="12.75">
      <c r="A26" s="5" t="s">
        <v>794</v>
      </c>
      <c r="B26" s="43">
        <v>75000</v>
      </c>
    </row>
    <row r="27" spans="1:2" ht="12.75">
      <c r="A27" s="56" t="s">
        <v>1101</v>
      </c>
      <c r="B27" s="43">
        <v>10900</v>
      </c>
    </row>
    <row r="28" spans="1:2" ht="12.75">
      <c r="A28" s="56" t="s">
        <v>1102</v>
      </c>
      <c r="B28" s="43">
        <v>6000</v>
      </c>
    </row>
    <row r="29" spans="1:2" ht="12.75">
      <c r="A29" s="11" t="s">
        <v>796</v>
      </c>
      <c r="B29" s="40">
        <f>SUM(B3:B28)</f>
        <v>1791024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Smith-Parkerson</dc:creator>
  <cp:keywords/>
  <dc:description/>
  <cp:lastModifiedBy>Admin</cp:lastModifiedBy>
  <cp:lastPrinted>2022-12-20T19:34:49Z</cp:lastPrinted>
  <dcterms:created xsi:type="dcterms:W3CDTF">2022-09-22T20:06:32Z</dcterms:created>
  <dcterms:modified xsi:type="dcterms:W3CDTF">2022-12-20T19:40:43Z</dcterms:modified>
  <cp:category/>
  <cp:version/>
  <cp:contentType/>
  <cp:contentStatus/>
</cp:coreProperties>
</file>